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H:\05 - Relation Usager\Nouveau site 2025\"/>
    </mc:Choice>
  </mc:AlternateContent>
  <xr:revisionPtr revIDLastSave="0" documentId="8_{4682498E-F071-45B2-898C-F22794F09803}" xr6:coauthVersionLast="36" xr6:coauthVersionMax="36" xr10:uidLastSave="{00000000-0000-0000-0000-000000000000}"/>
  <bookViews>
    <workbookView xWindow="600" yWindow="30" windowWidth="14115" windowHeight="7485" xr2:uid="{00000000-000D-0000-FFFF-FFFF00000000}"/>
  </bookViews>
  <sheets>
    <sheet name="fiche parents" sheetId="6" r:id="rId1"/>
    <sheet name="cout reel" sheetId="9" state="hidden" r:id="rId2"/>
    <sheet name="tarif 2024 (09)" sheetId="8" r:id="rId3"/>
  </sheets>
  <definedNames>
    <definedName name="reference">'fiche parents'!#REF!</definedName>
    <definedName name="_xlnm.Print_Area" localSheetId="2">'tarif 2024 (09)'!$A$1:$V$58</definedName>
  </definedNames>
  <calcPr calcId="191029"/>
</workbook>
</file>

<file path=xl/calcChain.xml><?xml version="1.0" encoding="utf-8"?>
<calcChain xmlns="http://schemas.openxmlformats.org/spreadsheetml/2006/main">
  <c r="H28" i="9" l="1"/>
  <c r="H33" i="9" s="1"/>
  <c r="O28" i="9"/>
  <c r="N30" i="9"/>
  <c r="N28" i="9"/>
  <c r="J5" i="9" l="1"/>
  <c r="P25" i="9"/>
  <c r="P27" i="9" s="1"/>
  <c r="O25" i="9"/>
  <c r="O27" i="9" s="1"/>
  <c r="K20" i="9" l="1"/>
  <c r="T21" i="9"/>
  <c r="T26" i="9"/>
  <c r="U26" i="9" s="1"/>
  <c r="N25" i="9"/>
  <c r="N27" i="9" s="1"/>
  <c r="K24" i="9"/>
  <c r="B24" i="9"/>
  <c r="D24" i="9" s="1"/>
  <c r="N14" i="9"/>
  <c r="O14" i="9" s="1"/>
  <c r="T11" i="9"/>
  <c r="R5" i="9"/>
  <c r="R4" i="9"/>
  <c r="R3" i="9"/>
  <c r="R2" i="9"/>
  <c r="S2" i="9" s="1"/>
  <c r="D13" i="9"/>
  <c r="C13" i="9"/>
  <c r="B12" i="9"/>
  <c r="E12" i="9" s="1"/>
  <c r="F12" i="9" s="1"/>
  <c r="B11" i="9"/>
  <c r="E11" i="9" s="1"/>
  <c r="D10" i="9"/>
  <c r="C10" i="9"/>
  <c r="B9" i="9"/>
  <c r="E9" i="9" s="1"/>
  <c r="F9" i="9" s="1"/>
  <c r="B8" i="9"/>
  <c r="E8" i="9" s="1"/>
  <c r="E7" i="9"/>
  <c r="F7" i="9" s="1"/>
  <c r="C6" i="9"/>
  <c r="D5" i="9"/>
  <c r="B5" i="9"/>
  <c r="D4" i="9"/>
  <c r="B4" i="9"/>
  <c r="E4" i="9" s="1"/>
  <c r="F4" i="9" s="1"/>
  <c r="D3" i="9"/>
  <c r="B3" i="9"/>
  <c r="D2" i="9"/>
  <c r="B2" i="9"/>
  <c r="E3" i="9" l="1"/>
  <c r="F3" i="9" s="1"/>
  <c r="S4" i="9"/>
  <c r="T4" i="9" s="1"/>
  <c r="J8" i="9"/>
  <c r="E5" i="9"/>
  <c r="F5" i="9" s="1"/>
  <c r="J4" i="9"/>
  <c r="K4" i="9" s="1"/>
  <c r="D6" i="9"/>
  <c r="D14" i="9" s="1"/>
  <c r="T2" i="9"/>
  <c r="P14" i="9" s="1"/>
  <c r="S7" i="9"/>
  <c r="S8" i="9" s="1"/>
  <c r="O15" i="9"/>
  <c r="P15" i="9" s="1"/>
  <c r="C14" i="9"/>
  <c r="E2" i="9"/>
  <c r="F2" i="9" s="1"/>
  <c r="E24" i="9"/>
  <c r="J3" i="9" s="1"/>
  <c r="E10" i="9"/>
  <c r="F8" i="9"/>
  <c r="F11" i="9"/>
  <c r="E13" i="9"/>
  <c r="B6" i="9"/>
  <c r="B10" i="9"/>
  <c r="B13" i="9"/>
  <c r="E6" i="9" l="1"/>
  <c r="B14" i="9"/>
  <c r="E14" i="9"/>
  <c r="F6" i="9"/>
  <c r="F13" i="9"/>
  <c r="F10" i="9"/>
  <c r="F14" i="9" l="1"/>
  <c r="E4" i="6" l="1"/>
  <c r="I6" i="6" s="1"/>
  <c r="H6" i="6" l="1"/>
  <c r="F4" i="8"/>
  <c r="F5" i="8"/>
  <c r="F6" i="8"/>
  <c r="F7" i="8"/>
  <c r="F8" i="8"/>
  <c r="F9" i="8"/>
  <c r="F10" i="8"/>
  <c r="F11" i="8"/>
  <c r="F12" i="8"/>
  <c r="F3" i="8"/>
  <c r="E4" i="8"/>
  <c r="E5" i="8"/>
  <c r="E6" i="8"/>
  <c r="E7" i="8"/>
  <c r="E8" i="8"/>
  <c r="E9" i="8"/>
  <c r="E10" i="8"/>
  <c r="E11" i="8"/>
  <c r="E12" i="8"/>
  <c r="E3" i="8"/>
  <c r="F4" i="6"/>
  <c r="G4" i="6" s="1"/>
  <c r="L6" i="6"/>
  <c r="L4" i="6"/>
  <c r="T4" i="6"/>
  <c r="T6" i="6"/>
  <c r="N6" i="6" l="1"/>
  <c r="M6" i="6"/>
  <c r="N4" i="6"/>
  <c r="M4" i="6"/>
  <c r="O4" i="6" l="1"/>
  <c r="Q4" i="6"/>
  <c r="Q6" i="6"/>
  <c r="R6" i="6"/>
  <c r="P6" i="6"/>
  <c r="P4" i="6"/>
  <c r="O6" i="6"/>
  <c r="R4" i="6"/>
  <c r="S6" i="6"/>
  <c r="S4" i="6"/>
  <c r="I4" i="6"/>
  <c r="H4" i="6"/>
  <c r="K6" i="6"/>
  <c r="K4" i="6"/>
  <c r="J6" i="6"/>
  <c r="J4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stéphane bultez</author>
    <author>service communication</author>
  </authors>
  <commentList>
    <comment ref="B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entrer le nombre d'enfant déclaré à la CAF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4" authorId="0" shapeId="0" xr:uid="{486D3153-A4BD-4E67-8E85-DE470F12EC9F}">
      <text>
        <r>
          <rPr>
            <b/>
            <sz val="9"/>
            <color indexed="81"/>
            <rFont val="Tahoma"/>
            <family val="2"/>
          </rPr>
          <t>entrer le nombre de personne au foyer  déclaré sur le ou les avis d'imposition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4" authorId="1" shapeId="0" xr:uid="{00000000-0006-0000-0000-000002000000}">
      <text>
        <r>
          <rPr>
            <b/>
            <sz val="8"/>
            <color indexed="81"/>
            <rFont val="Tahoma"/>
            <family val="2"/>
          </rPr>
          <t>Entrez le montant du revenu Fiscal de référence de votre avis d'imposition en cours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Gladys Martin</author>
  </authors>
  <commentList>
    <comment ref="B11" authorId="0" shapeId="0" xr:uid="{CBD30269-E7EB-47A0-9B4A-6CC1FB039525}">
      <text>
        <r>
          <rPr>
            <b/>
            <sz val="9"/>
            <color indexed="81"/>
            <rFont val="Tahoma"/>
            <family val="2"/>
          </rPr>
          <t>Gladys Martin:</t>
        </r>
        <r>
          <rPr>
            <sz val="9"/>
            <color indexed="81"/>
            <rFont val="Tahoma"/>
            <family val="2"/>
          </rPr>
          <t xml:space="preserve">
Base RH 2023 = 16 000 €</t>
        </r>
      </text>
    </comment>
  </commentList>
</comments>
</file>

<file path=xl/sharedStrings.xml><?xml version="1.0" encoding="utf-8"?>
<sst xmlns="http://schemas.openxmlformats.org/spreadsheetml/2006/main" count="238" uniqueCount="160">
  <si>
    <t>Plancher</t>
  </si>
  <si>
    <t>ALSH</t>
  </si>
  <si>
    <t>Mouvallois</t>
  </si>
  <si>
    <t>Non Mouvallois</t>
  </si>
  <si>
    <t>classe de neige</t>
  </si>
  <si>
    <t>Petite enfance</t>
  </si>
  <si>
    <t>BIENVENUE SUR L'ONGLET ESPACE FAMILLES. CALCULEZ VOS TARIFS POUR LES PRESTATIONS 0-18 ANS !</t>
  </si>
  <si>
    <t>1: entrer le nombre d'enfants à charge dans le foyer</t>
  </si>
  <si>
    <t>PETITE ENFANCE</t>
  </si>
  <si>
    <t>MOUVALLOIS</t>
  </si>
  <si>
    <t>Tranche 1</t>
  </si>
  <si>
    <t>Tranche 2</t>
  </si>
  <si>
    <t xml:space="preserve">Tranche 3 </t>
  </si>
  <si>
    <t>Tranche 4</t>
  </si>
  <si>
    <t>Tranche 5</t>
  </si>
  <si>
    <t>Tranche 6</t>
  </si>
  <si>
    <t>PLUS DE 12000 €</t>
  </si>
  <si>
    <t>DE 9526 à 11999 €</t>
  </si>
  <si>
    <t>DE 7620 à 9525 €</t>
  </si>
  <si>
    <t>DE 5720 à7619 €</t>
  </si>
  <si>
    <t>TARIFx2</t>
  </si>
  <si>
    <t>Sans inscription</t>
  </si>
  <si>
    <t>DE 2857 à 5719 €</t>
  </si>
  <si>
    <t>TARIF HORAIRE</t>
  </si>
  <si>
    <t>MOINS DE 2856 €</t>
  </si>
  <si>
    <t>GARDERIE ALSH / MERCREDIS RECREATIFS</t>
  </si>
  <si>
    <t>EXTERIEURS</t>
  </si>
  <si>
    <t>QUOTIENT VILLE</t>
  </si>
  <si>
    <t>TRANCHES</t>
  </si>
  <si>
    <t>CARTE PRE ADOS (10-12ans)</t>
  </si>
  <si>
    <t>Réduction de 1€ par jour d’inscription aux enfants disposant d’un PAI.</t>
  </si>
  <si>
    <t xml:space="preserve">Sortie hors métropole </t>
  </si>
  <si>
    <t xml:space="preserve">Sortie sur la métropole </t>
  </si>
  <si>
    <t>Carte Jeune samedi &amp; vacances</t>
  </si>
  <si>
    <t>8h30 à 16h30 avec repas obligatoire</t>
  </si>
  <si>
    <t>Tarif journée - inscription semaine obligatoire - Restauration comprise</t>
  </si>
  <si>
    <t>Tarifs Extérieurs</t>
  </si>
  <si>
    <t>Tarifs Mouvallois</t>
  </si>
  <si>
    <t xml:space="preserve">Espace Jeunes </t>
  </si>
  <si>
    <t xml:space="preserve">MERCREDIS RECREATIFS </t>
  </si>
  <si>
    <t>ACCUEIL DE LOISIRS</t>
  </si>
  <si>
    <t>Remise de 10% pour le 2ème enfant - Remise de 20%pour le 3ème enfant et les suivants - Remise de 10% pour les Foyers monoparentaux</t>
  </si>
  <si>
    <t>SANS INSCRIPTION = TARIF x 2</t>
  </si>
  <si>
    <t>Tarif complémentaire</t>
  </si>
  <si>
    <t>18h/18h30</t>
  </si>
  <si>
    <t>17h30/18h</t>
  </si>
  <si>
    <t xml:space="preserve">16h30/17h30 </t>
  </si>
  <si>
    <t>8h/8h30</t>
  </si>
  <si>
    <t>7h30/8h</t>
  </si>
  <si>
    <t>TARIFS ELEMENTAIRES EXTERIEURS</t>
  </si>
  <si>
    <t>TARIFS MATERNELS EXTERIEURS</t>
  </si>
  <si>
    <t>TARIFS ELEMENTAIRES MOUVALLOIS</t>
  </si>
  <si>
    <t>TARIFS MATERNELS MOUVALLOIS</t>
  </si>
  <si>
    <t>GARDERIES  PERISCOLAIRES</t>
  </si>
  <si>
    <t>TARIF x 2</t>
  </si>
  <si>
    <t>Enseignant</t>
  </si>
  <si>
    <t>TARIF ADULTE</t>
  </si>
  <si>
    <t>Maternelle</t>
  </si>
  <si>
    <t>Elémentaire</t>
  </si>
  <si>
    <t>TARIFS EXTERIEURS</t>
  </si>
  <si>
    <t>TARIF B</t>
  </si>
  <si>
    <t>TARIF A</t>
  </si>
  <si>
    <t>TARIF ALLERGIE</t>
  </si>
  <si>
    <t>le déplacement</t>
  </si>
  <si>
    <t>Elem/CLIS/CLAD</t>
  </si>
  <si>
    <t>TARIF NORMAL</t>
  </si>
  <si>
    <t>TRANSPORT PISCINE SCOLAIRE</t>
  </si>
  <si>
    <t>CLASSE S DE NEIGE</t>
  </si>
  <si>
    <t>TARIFS</t>
  </si>
  <si>
    <t>PAUSE MERIDIENNE (Repas compris)</t>
  </si>
  <si>
    <t xml:space="preserve"> EXTERIEURS</t>
  </si>
  <si>
    <t>ATTENTE DE LA DECISION DE LA CNAF</t>
  </si>
  <si>
    <r>
      <rPr>
        <b/>
        <sz val="11"/>
        <color theme="1"/>
        <rFont val="Calibri"/>
        <family val="2"/>
        <scheme val="minor"/>
      </rPr>
      <t>ressources annuelles</t>
    </r>
    <r>
      <rPr>
        <sz val="11"/>
        <color theme="1"/>
        <rFont val="Calibri"/>
        <family val="2"/>
        <scheme val="minor"/>
      </rPr>
      <t xml:space="preserve"> divisées par 12 et multipliées par le taux d'effort correspondant à votre situation (ajouter pour chaque enfant dont vous disposez de l'AAEH 1 enfant supplémentaire)</t>
    </r>
  </si>
  <si>
    <t>demi-journée de formation</t>
  </si>
  <si>
    <t>PARENTALITE</t>
  </si>
  <si>
    <t xml:space="preserve">Plafond </t>
  </si>
  <si>
    <t xml:space="preserve">Année d’application </t>
  </si>
  <si>
    <t>01/01/2023 au ???</t>
  </si>
  <si>
    <t>ENFANTS à CHARGE</t>
  </si>
  <si>
    <t>TAUX D'EFFORT CAF</t>
  </si>
  <si>
    <t>Pause Méridienne Maternelle</t>
  </si>
  <si>
    <t>Pause Méridienne élémentaire</t>
  </si>
  <si>
    <t>Transport piscine</t>
  </si>
  <si>
    <t>espace jeune: CARTE ADOS</t>
  </si>
  <si>
    <t>espace jeune: CARTE PRE-ADOS</t>
  </si>
  <si>
    <t>Garderie ALSH  &amp; Mercredi (prix horaire)</t>
  </si>
  <si>
    <t xml:space="preserve">plancher </t>
  </si>
  <si>
    <t>plafond</t>
  </si>
  <si>
    <t>1:                      Nombre d'enfants</t>
  </si>
  <si>
    <t xml:space="preserve">4:               Taux d'effort </t>
  </si>
  <si>
    <t>3:            TRANCHE</t>
  </si>
  <si>
    <t>Périscolaire (prix horaire) élémentaire</t>
  </si>
  <si>
    <t>Périscolaire (prix horaire) Maternelle</t>
  </si>
  <si>
    <t>2: Nombre de personne au foyer</t>
  </si>
  <si>
    <t>5: les tarifs de vos services s'affichent (attention les réductions ne sont pas pris en compte dans ce simulateur)</t>
  </si>
  <si>
    <t>3 &amp; 4: votre tranche et le taux d'effort petite enfance  apparaissent</t>
  </si>
  <si>
    <t>Coût prévisionnel 2025</t>
  </si>
  <si>
    <t>Participations usagers Prév 2025</t>
  </si>
  <si>
    <t>CAF prév 2025</t>
  </si>
  <si>
    <t>Reste à charge Ville</t>
  </si>
  <si>
    <t>Reste à charge Ville en %</t>
  </si>
  <si>
    <t>Périscolaire</t>
  </si>
  <si>
    <t>Mercredis Récréatifs</t>
  </si>
  <si>
    <t>Espace Jeunes</t>
  </si>
  <si>
    <t>TOTAL JEUNESSE</t>
  </si>
  <si>
    <t>Classes de neige</t>
  </si>
  <si>
    <t>Pause Méridienne</t>
  </si>
  <si>
    <t>TOTAL VIE SCOLAIRE</t>
  </si>
  <si>
    <t>Parentalité</t>
  </si>
  <si>
    <t>Petite Enfance</t>
  </si>
  <si>
    <t>TOTAL PETITE ENFANCE</t>
  </si>
  <si>
    <t>TOTAL</t>
  </si>
  <si>
    <t>nb d'enfant</t>
  </si>
  <si>
    <t>cout</t>
  </si>
  <si>
    <t>nb jour</t>
  </si>
  <si>
    <t>m6</t>
  </si>
  <si>
    <t>m6 1/2</t>
  </si>
  <si>
    <t>p6</t>
  </si>
  <si>
    <t>p6 1/2</t>
  </si>
  <si>
    <t>nov</t>
  </si>
  <si>
    <t>octo</t>
  </si>
  <si>
    <t>sept</t>
  </si>
  <si>
    <t>tot 1</t>
  </si>
  <si>
    <t xml:space="preserve">total </t>
  </si>
  <si>
    <t>3 trim</t>
  </si>
  <si>
    <t>periscolaire</t>
  </si>
  <si>
    <t>cout anim</t>
  </si>
  <si>
    <t xml:space="preserve">gouter </t>
  </si>
  <si>
    <t>fluide</t>
  </si>
  <si>
    <t>garderie alsh et mr</t>
  </si>
  <si>
    <t>alsh</t>
  </si>
  <si>
    <t>mr</t>
  </si>
  <si>
    <t>mairie</t>
  </si>
  <si>
    <t>repas mat</t>
  </si>
  <si>
    <t>repas elem</t>
  </si>
  <si>
    <t>sobrie</t>
  </si>
  <si>
    <t>EJ</t>
  </si>
  <si>
    <t>4h</t>
  </si>
  <si>
    <t>8h</t>
  </si>
  <si>
    <t>repas</t>
  </si>
  <si>
    <t>animation sortie</t>
  </si>
  <si>
    <t>nb samedi</t>
  </si>
  <si>
    <t>animation</t>
  </si>
  <si>
    <t>preados</t>
  </si>
  <si>
    <t>ados</t>
  </si>
  <si>
    <t>COUT REEL MOYEN POUR UN ENFANT</t>
  </si>
  <si>
    <t>cout UFCV</t>
  </si>
  <si>
    <t>2:               Ressources  du foyer</t>
  </si>
  <si>
    <t>Mercredis récréatifs  (prix journée avec restauration le midi)</t>
  </si>
  <si>
    <t>ALSH  (prix semaine de 5 jours avec restauration le midi)</t>
  </si>
  <si>
    <t>mercredi</t>
  </si>
  <si>
    <t>Espace jeune : sortie métropole 1/2 journée</t>
  </si>
  <si>
    <t>Espace jeune : sortie hors métropole Journée</t>
  </si>
  <si>
    <t>2: entrer le nombre de personne vivant dans le foyer</t>
  </si>
  <si>
    <t>3: Pour la petite enfance entrer vos ressources déclaré à la CAF--------------Pour les autres services entrer votre revenu fiscal de référence</t>
  </si>
  <si>
    <t>MODIFICATIONS DES TARIFS</t>
  </si>
  <si>
    <t>Garderie mercredi, ALSH et Périscolaire  + pause méridienne : PRESENCE SANS RESERVATION  = TARIF x 2</t>
  </si>
  <si>
    <t xml:space="preserve">Garderie Périscolaire: Remise immédiate sur le tarif sur des crénaux identiques: de 10% pour le 2ème enfant -  de 20% sur le 3ème enfant et les suivants - de 10% pour les Foyers monoparentaux </t>
  </si>
  <si>
    <t>Mercredi récréatif et ALSH : Réduction de 1€ par jour réservé aux enfants disposant d’un PAI alimentaire</t>
  </si>
  <si>
    <t>ALSH 10 % de reduction par enfant ayant des réservations identique (même semaine)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</si>
</sst>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5" formatCode="#,##0\ &quot;€&quot;;\-#,##0\ &quot;€&quot;"/>
    <numFmt numFmtId="6" formatCode="#,##0\ &quot;€&quot;;[Red]\-#,##0\ &quot;€&quot;"/>
    <numFmt numFmtId="8" formatCode="#,##0.00\ &quot;€&quot;;[Red]\-#,##0.00\ &quot;€&quot;"/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#,##0.00\ &quot;€&quot;"/>
    <numFmt numFmtId="165" formatCode="0.0000%"/>
    <numFmt numFmtId="166" formatCode="#,##0.00\ &quot;€&quot;;[Red]#,##0.00\ &quot;€&quot;"/>
    <numFmt numFmtId="167" formatCode="_-* #,##0\ &quot;€&quot;_-;\-* #,##0\ &quot;€&quot;_-;_-* &quot;-&quot;??\ &quot;€&quot;_-;_-@_-"/>
  </numFmts>
  <fonts count="41" x14ac:knownFonts="1">
    <font>
      <sz val="11"/>
      <color theme="1"/>
      <name val="Calibri"/>
      <family val="2"/>
      <scheme val="minor"/>
    </font>
    <font>
      <sz val="11"/>
      <color theme="1"/>
      <name val="Aptos"/>
      <family val="2"/>
    </font>
    <font>
      <sz val="11"/>
      <color theme="1"/>
      <name val="Aptos"/>
      <family val="2"/>
    </font>
    <font>
      <sz val="11"/>
      <color theme="1"/>
      <name val="Aptos"/>
      <family val="2"/>
    </font>
    <font>
      <sz val="11"/>
      <color theme="1"/>
      <name val="Aptos"/>
      <family val="2"/>
    </font>
    <font>
      <b/>
      <sz val="8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b/>
      <sz val="11"/>
      <color theme="1"/>
      <name val="Aptos"/>
      <family val="2"/>
    </font>
    <font>
      <b/>
      <sz val="22"/>
      <color theme="1"/>
      <name val="Aptos"/>
      <family val="2"/>
    </font>
    <font>
      <sz val="10"/>
      <color theme="1"/>
      <name val="Aptos"/>
      <family val="2"/>
    </font>
    <font>
      <b/>
      <sz val="11"/>
      <name val="Aptos"/>
      <family val="2"/>
    </font>
    <font>
      <b/>
      <sz val="11"/>
      <color rgb="FFFF0000"/>
      <name val="Aptos"/>
      <family val="2"/>
    </font>
    <font>
      <b/>
      <sz val="12"/>
      <color theme="1"/>
      <name val="Aptos"/>
      <family val="2"/>
    </font>
    <font>
      <b/>
      <sz val="12"/>
      <name val="Aptos"/>
      <family val="2"/>
    </font>
    <font>
      <b/>
      <sz val="12"/>
      <color indexed="8"/>
      <name val="Aptos"/>
      <family val="2"/>
    </font>
    <font>
      <b/>
      <sz val="11"/>
      <color indexed="8"/>
      <name val="Aptos"/>
      <family val="2"/>
    </font>
  </fonts>
  <fills count="40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6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</borders>
  <cellStyleXfs count="49">
    <xf numFmtId="0" fontId="0" fillId="0" borderId="0"/>
    <xf numFmtId="0" fontId="10" fillId="0" borderId="0" applyNumberFormat="0" applyFill="0" applyBorder="0" applyAlignment="0" applyProtection="0"/>
    <xf numFmtId="0" fontId="9" fillId="11" borderId="10" applyNumberFormat="0" applyFont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5" borderId="0" applyNumberFormat="0" applyBorder="0" applyAlignment="0" applyProtection="0"/>
    <xf numFmtId="0" fontId="15" fillId="6" borderId="0" applyNumberFormat="0" applyBorder="0" applyAlignment="0" applyProtection="0"/>
    <xf numFmtId="0" fontId="16" fillId="7" borderId="0" applyNumberFormat="0" applyBorder="0" applyAlignment="0" applyProtection="0"/>
    <xf numFmtId="0" fontId="17" fillId="8" borderId="6" applyNumberFormat="0" applyAlignment="0" applyProtection="0"/>
    <xf numFmtId="0" fontId="18" fillId="9" borderId="7" applyNumberFormat="0" applyAlignment="0" applyProtection="0"/>
    <xf numFmtId="0" fontId="19" fillId="9" borderId="6" applyNumberFormat="0" applyAlignment="0" applyProtection="0"/>
    <xf numFmtId="0" fontId="20" fillId="0" borderId="8" applyNumberFormat="0" applyFill="0" applyAlignment="0" applyProtection="0"/>
    <xf numFmtId="0" fontId="21" fillId="10" borderId="9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8" fillId="0" borderId="11" applyNumberFormat="0" applyFill="0" applyAlignment="0" applyProtection="0"/>
    <xf numFmtId="0" fontId="24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24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24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24" fillId="24" borderId="0" applyNumberFormat="0" applyBorder="0" applyAlignment="0" applyProtection="0"/>
    <xf numFmtId="0" fontId="9" fillId="25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24" fillId="28" borderId="0" applyNumberFormat="0" applyBorder="0" applyAlignment="0" applyProtection="0"/>
    <xf numFmtId="0" fontId="9" fillId="29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24" fillId="32" borderId="0" applyNumberFormat="0" applyBorder="0" applyAlignment="0" applyProtection="0"/>
    <xf numFmtId="0" fontId="9" fillId="33" borderId="0" applyNumberFormat="0" applyBorder="0" applyAlignment="0" applyProtection="0"/>
    <xf numFmtId="0" fontId="9" fillId="34" borderId="0" applyNumberFormat="0" applyBorder="0" applyAlignment="0" applyProtection="0"/>
    <xf numFmtId="0" fontId="9" fillId="35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4" fontId="9" fillId="0" borderId="0" applyFont="0" applyFill="0" applyBorder="0" applyAlignment="0" applyProtection="0"/>
    <xf numFmtId="9" fontId="9" fillId="0" borderId="0" applyFont="0" applyFill="0" applyBorder="0" applyAlignment="0" applyProtection="0"/>
  </cellStyleXfs>
  <cellXfs count="239">
    <xf numFmtId="0" fontId="0" fillId="0" borderId="0" xfId="0"/>
    <xf numFmtId="165" fontId="0" fillId="0" borderId="0" xfId="0" applyNumberFormat="1"/>
    <xf numFmtId="0" fontId="0" fillId="0" borderId="12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15" xfId="0" applyFont="1" applyBorder="1" applyAlignment="1">
      <alignment horizontal="center" vertical="center" wrapText="1"/>
    </xf>
    <xf numFmtId="0" fontId="27" fillId="0" borderId="17" xfId="0" applyFont="1" applyBorder="1" applyAlignment="1">
      <alignment horizontal="center" vertical="center"/>
    </xf>
    <xf numFmtId="0" fontId="27" fillId="0" borderId="18" xfId="0" applyFont="1" applyBorder="1" applyAlignment="1">
      <alignment horizontal="center" vertical="center"/>
    </xf>
    <xf numFmtId="164" fontId="28" fillId="0" borderId="19" xfId="0" applyNumberFormat="1" applyFont="1" applyFill="1" applyBorder="1" applyAlignment="1">
      <alignment horizontal="center" vertical="center"/>
    </xf>
    <xf numFmtId="0" fontId="8" fillId="0" borderId="20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8" fontId="25" fillId="3" borderId="15" xfId="0" applyNumberFormat="1" applyFont="1" applyFill="1" applyBorder="1" applyAlignment="1">
      <alignment horizontal="center" vertical="center" wrapText="1"/>
    </xf>
    <xf numFmtId="6" fontId="25" fillId="3" borderId="15" xfId="0" applyNumberFormat="1" applyFont="1" applyFill="1" applyBorder="1" applyAlignment="1">
      <alignment horizontal="center" vertical="center" wrapText="1"/>
    </xf>
    <xf numFmtId="8" fontId="0" fillId="0" borderId="26" xfId="0" applyNumberFormat="1" applyFont="1" applyFill="1" applyBorder="1" applyAlignment="1">
      <alignment horizontal="center" vertical="center"/>
    </xf>
    <xf numFmtId="8" fontId="0" fillId="0" borderId="27" xfId="0" applyNumberFormat="1" applyFont="1" applyFill="1" applyBorder="1" applyAlignment="1">
      <alignment horizontal="center" vertical="center"/>
    </xf>
    <xf numFmtId="8" fontId="0" fillId="3" borderId="28" xfId="0" applyNumberFormat="1" applyFont="1" applyFill="1" applyBorder="1" applyAlignment="1">
      <alignment horizontal="center" vertical="center" wrapText="1"/>
    </xf>
    <xf numFmtId="8" fontId="0" fillId="0" borderId="28" xfId="0" applyNumberFormat="1" applyFont="1" applyFill="1" applyBorder="1" applyAlignment="1">
      <alignment horizontal="center" vertical="center" wrapText="1"/>
    </xf>
    <xf numFmtId="0" fontId="0" fillId="0" borderId="29" xfId="0" applyFont="1" applyBorder="1" applyAlignment="1">
      <alignment horizontal="center" vertical="center"/>
    </xf>
    <xf numFmtId="8" fontId="25" fillId="3" borderId="26" xfId="0" applyNumberFormat="1" applyFont="1" applyFill="1" applyBorder="1" applyAlignment="1">
      <alignment horizontal="center" vertical="center"/>
    </xf>
    <xf numFmtId="8" fontId="25" fillId="0" borderId="27" xfId="0" applyNumberFormat="1" applyFont="1" applyFill="1" applyBorder="1" applyAlignment="1">
      <alignment horizontal="center" vertical="center"/>
    </xf>
    <xf numFmtId="8" fontId="0" fillId="0" borderId="30" xfId="0" applyNumberFormat="1" applyFont="1" applyFill="1" applyBorder="1" applyAlignment="1">
      <alignment horizontal="center" vertical="center"/>
    </xf>
    <xf numFmtId="8" fontId="0" fillId="0" borderId="31" xfId="0" applyNumberFormat="1" applyFont="1" applyFill="1" applyBorder="1" applyAlignment="1">
      <alignment horizontal="center" vertical="center"/>
    </xf>
    <xf numFmtId="8" fontId="0" fillId="3" borderId="32" xfId="0" applyNumberFormat="1" applyFont="1" applyFill="1" applyBorder="1" applyAlignment="1">
      <alignment horizontal="center" vertical="center" wrapText="1"/>
    </xf>
    <xf numFmtId="8" fontId="0" fillId="0" borderId="32" xfId="0" applyNumberFormat="1" applyFont="1" applyFill="1" applyBorder="1" applyAlignment="1">
      <alignment horizontal="center" vertical="center" wrapText="1"/>
    </xf>
    <xf numFmtId="8" fontId="25" fillId="3" borderId="30" xfId="0" applyNumberFormat="1" applyFont="1" applyFill="1" applyBorder="1" applyAlignment="1">
      <alignment horizontal="center" vertical="center"/>
    </xf>
    <xf numFmtId="8" fontId="25" fillId="0" borderId="31" xfId="0" applyNumberFormat="1" applyFont="1" applyFill="1" applyBorder="1" applyAlignment="1">
      <alignment horizontal="center" vertical="center"/>
    </xf>
    <xf numFmtId="8" fontId="25" fillId="3" borderId="21" xfId="0" applyNumberFormat="1" applyFont="1" applyFill="1" applyBorder="1" applyAlignment="1">
      <alignment horizontal="center" vertical="center" wrapText="1"/>
    </xf>
    <xf numFmtId="6" fontId="25" fillId="3" borderId="21" xfId="0" applyNumberFormat="1" applyFont="1" applyFill="1" applyBorder="1" applyAlignment="1">
      <alignment horizontal="center" vertical="center" wrapText="1"/>
    </xf>
    <xf numFmtId="8" fontId="0" fillId="0" borderId="34" xfId="0" applyNumberFormat="1" applyFont="1" applyFill="1" applyBorder="1" applyAlignment="1">
      <alignment horizontal="center" vertical="center"/>
    </xf>
    <xf numFmtId="8" fontId="0" fillId="0" borderId="35" xfId="0" applyNumberFormat="1" applyFont="1" applyFill="1" applyBorder="1" applyAlignment="1">
      <alignment horizontal="center" vertical="center"/>
    </xf>
    <xf numFmtId="0" fontId="0" fillId="0" borderId="36" xfId="0" applyFont="1" applyBorder="1" applyAlignment="1">
      <alignment horizontal="center" vertical="center"/>
    </xf>
    <xf numFmtId="8" fontId="0" fillId="3" borderId="37" xfId="0" applyNumberFormat="1" applyFont="1" applyFill="1" applyBorder="1" applyAlignment="1">
      <alignment horizontal="center" vertical="center" wrapText="1"/>
    </xf>
    <xf numFmtId="8" fontId="0" fillId="0" borderId="37" xfId="0" applyNumberFormat="1" applyFont="1" applyFill="1" applyBorder="1" applyAlignment="1">
      <alignment horizontal="center" vertical="center" wrapText="1"/>
    </xf>
    <xf numFmtId="0" fontId="29" fillId="3" borderId="19" xfId="0" applyFont="1" applyFill="1" applyBorder="1" applyAlignment="1">
      <alignment horizontal="center" vertical="center" wrapText="1"/>
    </xf>
    <xf numFmtId="0" fontId="29" fillId="3" borderId="39" xfId="0" applyFont="1" applyFill="1" applyBorder="1" applyAlignment="1">
      <alignment horizontal="center" vertical="center" wrapText="1"/>
    </xf>
    <xf numFmtId="0" fontId="29" fillId="0" borderId="19" xfId="0" applyFont="1" applyFill="1" applyBorder="1" applyAlignment="1">
      <alignment horizontal="center" vertical="center" wrapText="1"/>
    </xf>
    <xf numFmtId="0" fontId="29" fillId="0" borderId="39" xfId="0" applyFont="1" applyFill="1" applyBorder="1" applyAlignment="1">
      <alignment horizontal="center" vertical="center" wrapText="1"/>
    </xf>
    <xf numFmtId="0" fontId="28" fillId="0" borderId="42" xfId="0" applyFont="1" applyBorder="1" applyAlignment="1">
      <alignment horizontal="center" vertical="center" wrapText="1"/>
    </xf>
    <xf numFmtId="0" fontId="28" fillId="0" borderId="43" xfId="0" applyFont="1" applyBorder="1" applyAlignment="1">
      <alignment horizontal="center" vertical="center" wrapText="1"/>
    </xf>
    <xf numFmtId="8" fontId="28" fillId="36" borderId="23" xfId="0" applyNumberFormat="1" applyFont="1" applyFill="1" applyBorder="1" applyAlignment="1">
      <alignment horizontal="center" vertical="center" wrapText="1"/>
    </xf>
    <xf numFmtId="8" fontId="28" fillId="36" borderId="18" xfId="0" applyNumberFormat="1" applyFont="1" applyFill="1" applyBorder="1" applyAlignment="1">
      <alignment horizontal="center" vertical="center"/>
    </xf>
    <xf numFmtId="8" fontId="28" fillId="36" borderId="43" xfId="0" applyNumberFormat="1" applyFont="1" applyFill="1" applyBorder="1" applyAlignment="1">
      <alignment horizontal="center" vertical="center" wrapText="1"/>
    </xf>
    <xf numFmtId="8" fontId="0" fillId="0" borderId="44" xfId="0" applyNumberFormat="1" applyFont="1" applyFill="1" applyBorder="1" applyAlignment="1">
      <alignment horizontal="center" vertical="center"/>
    </xf>
    <xf numFmtId="8" fontId="0" fillId="0" borderId="14" xfId="0" applyNumberFormat="1" applyFont="1" applyFill="1" applyBorder="1" applyAlignment="1">
      <alignment horizontal="center" vertical="center"/>
    </xf>
    <xf numFmtId="8" fontId="0" fillId="0" borderId="45" xfId="0" applyNumberFormat="1" applyFont="1" applyFill="1" applyBorder="1" applyAlignment="1">
      <alignment horizontal="center" vertical="center"/>
    </xf>
    <xf numFmtId="8" fontId="0" fillId="36" borderId="12" xfId="0" applyNumberFormat="1" applyFont="1" applyFill="1" applyBorder="1" applyAlignment="1">
      <alignment horizontal="center" vertical="center"/>
    </xf>
    <xf numFmtId="8" fontId="0" fillId="36" borderId="33" xfId="0" applyNumberFormat="1" applyFont="1" applyFill="1" applyBorder="1" applyAlignment="1">
      <alignment horizontal="center" vertical="center"/>
    </xf>
    <xf numFmtId="8" fontId="0" fillId="0" borderId="32" xfId="0" applyNumberFormat="1" applyFont="1" applyFill="1" applyBorder="1" applyAlignment="1">
      <alignment horizontal="center" vertical="center"/>
    </xf>
    <xf numFmtId="8" fontId="0" fillId="0" borderId="1" xfId="0" applyNumberFormat="1" applyFont="1" applyFill="1" applyBorder="1" applyAlignment="1">
      <alignment horizontal="center" vertical="center"/>
    </xf>
    <xf numFmtId="8" fontId="0" fillId="0" borderId="33" xfId="0" applyNumberFormat="1" applyFont="1" applyFill="1" applyBorder="1" applyAlignment="1">
      <alignment horizontal="center" vertical="center"/>
    </xf>
    <xf numFmtId="8" fontId="0" fillId="36" borderId="32" xfId="0" applyNumberFormat="1" applyFont="1" applyFill="1" applyBorder="1" applyAlignment="1">
      <alignment horizontal="center" vertical="center"/>
    </xf>
    <xf numFmtId="8" fontId="0" fillId="36" borderId="1" xfId="0" applyNumberFormat="1" applyFont="1" applyFill="1" applyBorder="1" applyAlignment="1">
      <alignment horizontal="center" vertical="center"/>
    </xf>
    <xf numFmtId="0" fontId="0" fillId="0" borderId="46" xfId="0" applyFont="1" applyBorder="1" applyAlignment="1">
      <alignment horizontal="center" vertical="center"/>
    </xf>
    <xf numFmtId="0" fontId="29" fillId="0" borderId="37" xfId="0" applyFont="1" applyFill="1" applyBorder="1" applyAlignment="1">
      <alignment horizontal="center" vertical="center" wrapText="1"/>
    </xf>
    <xf numFmtId="0" fontId="0" fillId="0" borderId="36" xfId="0" applyFont="1" applyFill="1" applyBorder="1" applyAlignment="1">
      <alignment horizontal="center" vertical="center" wrapText="1"/>
    </xf>
    <xf numFmtId="0" fontId="0" fillId="0" borderId="38" xfId="0" applyFont="1" applyFill="1" applyBorder="1" applyAlignment="1">
      <alignment horizontal="center" vertical="center" wrapText="1"/>
    </xf>
    <xf numFmtId="0" fontId="29" fillId="36" borderId="41" xfId="0" applyFont="1" applyFill="1" applyBorder="1" applyAlignment="1">
      <alignment horizontal="center" vertical="center" wrapText="1"/>
    </xf>
    <xf numFmtId="0" fontId="0" fillId="36" borderId="36" xfId="0" applyFont="1" applyFill="1" applyBorder="1" applyAlignment="1">
      <alignment horizontal="center" vertical="center" wrapText="1"/>
    </xf>
    <xf numFmtId="0" fontId="0" fillId="36" borderId="38" xfId="0" applyFont="1" applyFill="1" applyBorder="1" applyAlignment="1">
      <alignment horizontal="center" vertical="center" wrapText="1"/>
    </xf>
    <xf numFmtId="0" fontId="29" fillId="36" borderId="37" xfId="0" applyFont="1" applyFill="1" applyBorder="1" applyAlignment="1">
      <alignment horizontal="center" vertical="center" wrapText="1"/>
    </xf>
    <xf numFmtId="0" fontId="28" fillId="0" borderId="29" xfId="0" applyFont="1" applyBorder="1" applyAlignment="1">
      <alignment horizontal="center" vertical="center" wrapText="1"/>
    </xf>
    <xf numFmtId="0" fontId="28" fillId="0" borderId="47" xfId="0" applyFont="1" applyBorder="1" applyAlignment="1">
      <alignment horizontal="center" vertical="center" wrapText="1"/>
    </xf>
    <xf numFmtId="166" fontId="27" fillId="37" borderId="17" xfId="0" applyNumberFormat="1" applyFont="1" applyFill="1" applyBorder="1" applyAlignment="1">
      <alignment horizontal="center" vertical="center"/>
    </xf>
    <xf numFmtId="0" fontId="27" fillId="37" borderId="49" xfId="0" applyFont="1" applyFill="1" applyBorder="1" applyAlignment="1">
      <alignment horizontal="center" vertical="center"/>
    </xf>
    <xf numFmtId="166" fontId="8" fillId="0" borderId="44" xfId="0" applyNumberFormat="1" applyFont="1" applyFill="1" applyBorder="1" applyAlignment="1">
      <alignment horizontal="center" vertical="center"/>
    </xf>
    <xf numFmtId="0" fontId="8" fillId="0" borderId="45" xfId="0" applyFont="1" applyBorder="1" applyAlignment="1">
      <alignment horizontal="center" vertical="center"/>
    </xf>
    <xf numFmtId="166" fontId="8" fillId="0" borderId="32" xfId="0" applyNumberFormat="1" applyFont="1" applyFill="1" applyBorder="1" applyAlignment="1">
      <alignment horizontal="center" vertical="center"/>
    </xf>
    <xf numFmtId="166" fontId="28" fillId="0" borderId="32" xfId="0" applyNumberFormat="1" applyFont="1" applyFill="1" applyBorder="1" applyAlignment="1">
      <alignment horizontal="center" vertical="center"/>
    </xf>
    <xf numFmtId="6" fontId="0" fillId="0" borderId="15" xfId="0" applyNumberFormat="1" applyFont="1" applyBorder="1" applyAlignment="1">
      <alignment horizontal="center" vertical="center"/>
    </xf>
    <xf numFmtId="6" fontId="0" fillId="0" borderId="16" xfId="0" applyNumberFormat="1" applyFont="1" applyBorder="1" applyAlignment="1">
      <alignment horizontal="center" vertical="center"/>
    </xf>
    <xf numFmtId="0" fontId="0" fillId="0" borderId="25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6" fontId="0" fillId="0" borderId="48" xfId="0" applyNumberFormat="1" applyFont="1" applyBorder="1" applyAlignment="1">
      <alignment horizontal="center" vertical="center"/>
    </xf>
    <xf numFmtId="6" fontId="0" fillId="0" borderId="40" xfId="0" applyNumberFormat="1" applyFont="1" applyBorder="1" applyAlignment="1">
      <alignment horizontal="center" vertical="center"/>
    </xf>
    <xf numFmtId="0" fontId="0" fillId="0" borderId="51" xfId="0" applyFont="1" applyBorder="1" applyAlignment="1">
      <alignment horizontal="center" vertical="center"/>
    </xf>
    <xf numFmtId="0" fontId="0" fillId="0" borderId="40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6" fontId="0" fillId="0" borderId="39" xfId="0" applyNumberFormat="1" applyFont="1" applyBorder="1" applyAlignment="1">
      <alignment horizontal="center" vertical="center"/>
    </xf>
    <xf numFmtId="6" fontId="0" fillId="0" borderId="19" xfId="0" applyNumberFormat="1" applyFont="1" applyBorder="1" applyAlignment="1">
      <alignment horizontal="center" vertical="center"/>
    </xf>
    <xf numFmtId="0" fontId="0" fillId="0" borderId="19" xfId="0" applyFont="1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166" fontId="8" fillId="0" borderId="37" xfId="0" applyNumberFormat="1" applyFont="1" applyFill="1" applyBorder="1" applyAlignment="1">
      <alignment horizontal="center" vertical="center"/>
    </xf>
    <xf numFmtId="0" fontId="8" fillId="3" borderId="23" xfId="0" applyFont="1" applyFill="1" applyBorder="1" applyAlignment="1">
      <alignment horizontal="center" vertical="center" wrapText="1"/>
    </xf>
    <xf numFmtId="8" fontId="25" fillId="0" borderId="53" xfId="0" applyNumberFormat="1" applyFont="1" applyBorder="1" applyAlignment="1">
      <alignment horizontal="center" vertical="center" wrapText="1"/>
    </xf>
    <xf numFmtId="14" fontId="25" fillId="0" borderId="54" xfId="0" applyNumberFormat="1" applyFont="1" applyBorder="1" applyAlignment="1">
      <alignment horizontal="center" vertical="center" wrapText="1"/>
    </xf>
    <xf numFmtId="44" fontId="0" fillId="0" borderId="44" xfId="0" applyNumberFormat="1" applyFont="1" applyBorder="1" applyAlignment="1">
      <alignment vertical="center" wrapText="1"/>
    </xf>
    <xf numFmtId="0" fontId="0" fillId="0" borderId="45" xfId="0" applyFont="1" applyBorder="1" applyAlignment="1">
      <alignment horizontal="center" vertical="center" wrapText="1"/>
    </xf>
    <xf numFmtId="44" fontId="0" fillId="0" borderId="37" xfId="0" applyNumberFormat="1" applyFont="1" applyBorder="1" applyAlignment="1">
      <alignment vertical="center" wrapText="1"/>
    </xf>
    <xf numFmtId="0" fontId="0" fillId="0" borderId="38" xfId="0" applyFont="1" applyBorder="1" applyAlignment="1">
      <alignment horizontal="center" vertical="center" wrapText="1"/>
    </xf>
    <xf numFmtId="0" fontId="0" fillId="0" borderId="23" xfId="0" applyFont="1" applyBorder="1" applyAlignment="1">
      <alignment horizontal="center" vertical="center" wrapText="1"/>
    </xf>
    <xf numFmtId="0" fontId="8" fillId="3" borderId="23" xfId="0" applyFont="1" applyFill="1" applyBorder="1" applyAlignment="1">
      <alignment horizontal="center" vertical="center"/>
    </xf>
    <xf numFmtId="0" fontId="26" fillId="0" borderId="57" xfId="0" applyFont="1" applyBorder="1" applyAlignment="1">
      <alignment horizontal="center" vertical="center" wrapText="1"/>
    </xf>
    <xf numFmtId="0" fontId="26" fillId="0" borderId="58" xfId="0" applyFont="1" applyBorder="1" applyAlignment="1">
      <alignment horizontal="center" vertical="center" wrapText="1"/>
    </xf>
    <xf numFmtId="0" fontId="31" fillId="0" borderId="21" xfId="0" applyFont="1" applyBorder="1" applyAlignment="1">
      <alignment horizontal="center" vertical="center" wrapText="1"/>
    </xf>
    <xf numFmtId="0" fontId="31" fillId="0" borderId="59" xfId="0" applyFont="1" applyBorder="1" applyAlignment="1">
      <alignment horizontal="center" vertical="center" wrapText="1"/>
    </xf>
    <xf numFmtId="0" fontId="0" fillId="0" borderId="49" xfId="0" applyFont="1" applyBorder="1" applyAlignment="1">
      <alignment horizontal="center" vertical="center" wrapText="1"/>
    </xf>
    <xf numFmtId="0" fontId="0" fillId="0" borderId="24" xfId="0" applyFont="1" applyFill="1" applyBorder="1" applyAlignment="1">
      <alignment vertical="center" wrapText="1"/>
    </xf>
    <xf numFmtId="0" fontId="0" fillId="0" borderId="21" xfId="0" applyFont="1" applyFill="1" applyBorder="1" applyAlignment="1">
      <alignment vertical="center" wrapText="1"/>
    </xf>
    <xf numFmtId="0" fontId="28" fillId="3" borderId="22" xfId="0" applyFont="1" applyFill="1" applyBorder="1" applyAlignment="1">
      <alignment vertical="center"/>
    </xf>
    <xf numFmtId="0" fontId="28" fillId="3" borderId="24" xfId="0" applyFont="1" applyFill="1" applyBorder="1" applyAlignment="1">
      <alignment vertical="center"/>
    </xf>
    <xf numFmtId="165" fontId="30" fillId="0" borderId="50" xfId="0" applyNumberFormat="1" applyFont="1" applyBorder="1" applyAlignment="1">
      <alignment vertical="center" wrapText="1"/>
    </xf>
    <xf numFmtId="165" fontId="30" fillId="0" borderId="39" xfId="0" applyNumberFormat="1" applyFont="1" applyBorder="1" applyAlignment="1">
      <alignment vertical="center" wrapText="1"/>
    </xf>
    <xf numFmtId="165" fontId="30" fillId="0" borderId="0" xfId="0" applyNumberFormat="1" applyFont="1" applyBorder="1" applyAlignment="1">
      <alignment vertical="center" wrapText="1"/>
    </xf>
    <xf numFmtId="165" fontId="30" fillId="0" borderId="48" xfId="0" applyNumberFormat="1" applyFont="1" applyBorder="1" applyAlignment="1">
      <alignment vertical="center" wrapText="1"/>
    </xf>
    <xf numFmtId="165" fontId="30" fillId="0" borderId="52" xfId="0" applyNumberFormat="1" applyFont="1" applyBorder="1" applyAlignment="1">
      <alignment vertical="center" wrapText="1"/>
    </xf>
    <xf numFmtId="165" fontId="30" fillId="0" borderId="15" xfId="0" applyNumberFormat="1" applyFont="1" applyBorder="1" applyAlignment="1">
      <alignment vertical="center" wrapText="1"/>
    </xf>
    <xf numFmtId="165" fontId="31" fillId="0" borderId="41" xfId="0" applyNumberFormat="1" applyFont="1" applyBorder="1" applyAlignment="1">
      <alignment horizontal="right" vertical="center" wrapText="1"/>
    </xf>
    <xf numFmtId="165" fontId="31" fillId="0" borderId="63" xfId="0" applyNumberFormat="1" applyFont="1" applyBorder="1" applyAlignment="1">
      <alignment horizontal="right" vertical="center" wrapText="1"/>
    </xf>
    <xf numFmtId="165" fontId="31" fillId="0" borderId="64" xfId="0" applyNumberFormat="1" applyFont="1" applyBorder="1" applyAlignment="1">
      <alignment horizontal="right" vertical="center" wrapText="1"/>
    </xf>
    <xf numFmtId="0" fontId="31" fillId="0" borderId="65" xfId="0" applyFont="1" applyBorder="1" applyAlignment="1">
      <alignment horizontal="center" vertical="center" wrapText="1"/>
    </xf>
    <xf numFmtId="164" fontId="30" fillId="0" borderId="1" xfId="0" applyNumberFormat="1" applyFont="1" applyBorder="1" applyAlignment="1">
      <alignment vertical="center" wrapText="1"/>
    </xf>
    <xf numFmtId="0" fontId="3" fillId="0" borderId="0" xfId="0" applyFont="1"/>
    <xf numFmtId="0" fontId="34" fillId="0" borderId="1" xfId="0" applyFont="1" applyBorder="1" applyAlignment="1">
      <alignment horizontal="center" vertical="top" wrapText="1"/>
    </xf>
    <xf numFmtId="0" fontId="3" fillId="0" borderId="0" xfId="0" applyFont="1" applyAlignment="1">
      <alignment wrapText="1"/>
    </xf>
    <xf numFmtId="0" fontId="3" fillId="3" borderId="1" xfId="0" applyFont="1" applyFill="1" applyBorder="1" applyAlignment="1">
      <alignment horizontal="center" vertical="center"/>
    </xf>
    <xf numFmtId="164" fontId="35" fillId="3" borderId="1" xfId="0" applyNumberFormat="1" applyFont="1" applyFill="1" applyBorder="1" applyAlignment="1">
      <alignment horizontal="center" vertical="center" wrapText="1"/>
    </xf>
    <xf numFmtId="164" fontId="36" fillId="3" borderId="1" xfId="0" applyNumberFormat="1" applyFont="1" applyFill="1" applyBorder="1" applyAlignment="1">
      <alignment horizontal="center" vertical="center" wrapText="1"/>
    </xf>
    <xf numFmtId="0" fontId="37" fillId="0" borderId="0" xfId="0" applyFont="1" applyAlignment="1">
      <alignment horizontal="center" vertical="center" wrapText="1"/>
    </xf>
    <xf numFmtId="165" fontId="39" fillId="0" borderId="31" xfId="0" applyNumberFormat="1" applyFont="1" applyFill="1" applyBorder="1" applyAlignment="1" applyProtection="1">
      <alignment horizontal="center" vertical="center"/>
      <protection hidden="1"/>
    </xf>
    <xf numFmtId="164" fontId="38" fillId="0" borderId="1" xfId="0" applyNumberFormat="1" applyFont="1" applyBorder="1" applyAlignment="1" applyProtection="1">
      <alignment horizontal="center" vertical="center" wrapText="1"/>
      <protection hidden="1"/>
    </xf>
    <xf numFmtId="0" fontId="37" fillId="0" borderId="0" xfId="0" applyFont="1" applyAlignment="1">
      <alignment horizontal="center" vertical="center"/>
    </xf>
    <xf numFmtId="0" fontId="3" fillId="2" borderId="0" xfId="0" applyFont="1" applyFill="1" applyAlignment="1">
      <alignment wrapText="1"/>
    </xf>
    <xf numFmtId="10" fontId="39" fillId="2" borderId="0" xfId="0" applyNumberFormat="1" applyFont="1" applyFill="1" applyBorder="1" applyAlignment="1" applyProtection="1">
      <alignment horizontal="center"/>
      <protection hidden="1"/>
    </xf>
    <xf numFmtId="164" fontId="35" fillId="2" borderId="0" xfId="0" applyNumberFormat="1" applyFont="1" applyFill="1" applyBorder="1" applyAlignment="1" applyProtection="1">
      <alignment horizontal="center" vertical="center" wrapText="1"/>
      <protection hidden="1"/>
    </xf>
    <xf numFmtId="164" fontId="40" fillId="2" borderId="0" xfId="0" applyNumberFormat="1" applyFont="1" applyFill="1" applyBorder="1" applyAlignment="1" applyProtection="1">
      <alignment horizontal="center" vertical="center"/>
      <protection hidden="1"/>
    </xf>
    <xf numFmtId="0" fontId="32" fillId="0" borderId="0" xfId="0" applyFont="1" applyAlignment="1">
      <alignment horizontal="center" vertical="center" wrapText="1"/>
    </xf>
    <xf numFmtId="10" fontId="39" fillId="2" borderId="1" xfId="0" applyNumberFormat="1" applyFont="1" applyFill="1" applyBorder="1" applyAlignment="1" applyProtection="1">
      <alignment horizontal="center" vertical="center"/>
      <protection hidden="1"/>
    </xf>
    <xf numFmtId="164" fontId="40" fillId="4" borderId="1" xfId="0" applyNumberFormat="1" applyFont="1" applyFill="1" applyBorder="1" applyAlignment="1" applyProtection="1">
      <alignment horizontal="center" vertical="center"/>
      <protection hidden="1"/>
    </xf>
    <xf numFmtId="164" fontId="35" fillId="4" borderId="1" xfId="0" applyNumberFormat="1" applyFont="1" applyFill="1" applyBorder="1" applyAlignment="1" applyProtection="1">
      <alignment horizontal="center" vertical="center" wrapText="1"/>
      <protection hidden="1"/>
    </xf>
    <xf numFmtId="0" fontId="3" fillId="0" borderId="0" xfId="0" applyFont="1" applyAlignment="1">
      <alignment horizontal="center" vertical="center"/>
    </xf>
    <xf numFmtId="10" fontId="3" fillId="0" borderId="0" xfId="0" applyNumberFormat="1" applyFont="1"/>
    <xf numFmtId="43" fontId="3" fillId="0" borderId="0" xfId="0" applyNumberFormat="1" applyFont="1"/>
    <xf numFmtId="20" fontId="3" fillId="0" borderId="0" xfId="0" applyNumberFormat="1" applyFont="1" applyAlignment="1">
      <alignment horizontal="left"/>
    </xf>
    <xf numFmtId="165" fontId="3" fillId="0" borderId="0" xfId="0" applyNumberFormat="1" applyFont="1"/>
    <xf numFmtId="0" fontId="34" fillId="0" borderId="0" xfId="0" applyFont="1" applyAlignment="1">
      <alignment horizontal="center" vertical="top" wrapText="1"/>
    </xf>
    <xf numFmtId="1" fontId="34" fillId="0" borderId="1" xfId="0" applyNumberFormat="1" applyFont="1" applyBorder="1" applyAlignment="1">
      <alignment horizontal="center" vertical="top" wrapText="1"/>
    </xf>
    <xf numFmtId="0" fontId="34" fillId="36" borderId="1" xfId="0" applyFont="1" applyFill="1" applyBorder="1" applyAlignment="1">
      <alignment horizontal="center" vertical="top" wrapText="1"/>
    </xf>
    <xf numFmtId="1" fontId="34" fillId="36" borderId="1" xfId="0" applyNumberFormat="1" applyFont="1" applyFill="1" applyBorder="1" applyAlignment="1">
      <alignment horizontal="center" vertical="top" wrapText="1"/>
    </xf>
    <xf numFmtId="10" fontId="39" fillId="2" borderId="0" xfId="0" applyNumberFormat="1" applyFont="1" applyFill="1" applyBorder="1" applyAlignment="1" applyProtection="1">
      <alignment horizontal="center"/>
    </xf>
    <xf numFmtId="10" fontId="39" fillId="2" borderId="31" xfId="0" applyNumberFormat="1" applyFont="1" applyFill="1" applyBorder="1" applyAlignment="1" applyProtection="1">
      <alignment horizontal="center" vertical="center"/>
    </xf>
    <xf numFmtId="0" fontId="8" fillId="0" borderId="22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167" fontId="8" fillId="0" borderId="24" xfId="47" applyNumberFormat="1" applyFont="1" applyBorder="1" applyAlignment="1">
      <alignment horizontal="center" vertical="center" wrapText="1"/>
    </xf>
    <xf numFmtId="0" fontId="8" fillId="0" borderId="51" xfId="0" applyFont="1" applyBorder="1" applyAlignment="1">
      <alignment vertical="center"/>
    </xf>
    <xf numFmtId="167" fontId="0" fillId="0" borderId="0" xfId="0" applyNumberFormat="1" applyFill="1" applyBorder="1" applyAlignment="1">
      <alignment vertical="center"/>
    </xf>
    <xf numFmtId="9" fontId="0" fillId="0" borderId="48" xfId="48" applyFont="1" applyFill="1" applyBorder="1" applyAlignment="1">
      <alignment vertical="center"/>
    </xf>
    <xf numFmtId="167" fontId="0" fillId="0" borderId="0" xfId="0" applyNumberFormat="1" applyBorder="1" applyAlignment="1">
      <alignment vertical="center"/>
    </xf>
    <xf numFmtId="9" fontId="0" fillId="0" borderId="48" xfId="48" applyFont="1" applyBorder="1" applyAlignment="1">
      <alignment vertical="center"/>
    </xf>
    <xf numFmtId="0" fontId="8" fillId="36" borderId="51" xfId="0" applyFont="1" applyFill="1" applyBorder="1" applyAlignment="1">
      <alignment horizontal="right" vertical="center"/>
    </xf>
    <xf numFmtId="167" fontId="8" fillId="36" borderId="0" xfId="0" applyNumberFormat="1" applyFont="1" applyFill="1" applyBorder="1" applyAlignment="1">
      <alignment horizontal="right" vertical="center"/>
    </xf>
    <xf numFmtId="9" fontId="8" fillId="36" borderId="48" xfId="48" applyFont="1" applyFill="1" applyBorder="1" applyAlignment="1">
      <alignment horizontal="right" vertical="center"/>
    </xf>
    <xf numFmtId="167" fontId="0" fillId="39" borderId="0" xfId="0" applyNumberFormat="1" applyFill="1" applyBorder="1" applyAlignment="1">
      <alignment vertical="center"/>
    </xf>
    <xf numFmtId="0" fontId="8" fillId="3" borderId="22" xfId="0" applyFont="1" applyFill="1" applyBorder="1" applyAlignment="1">
      <alignment vertical="center"/>
    </xf>
    <xf numFmtId="167" fontId="8" fillId="3" borderId="24" xfId="0" applyNumberFormat="1" applyFont="1" applyFill="1" applyBorder="1" applyAlignment="1">
      <alignment vertical="center"/>
    </xf>
    <xf numFmtId="9" fontId="8" fillId="3" borderId="21" xfId="48" applyNumberFormat="1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 wrapText="1"/>
    </xf>
    <xf numFmtId="167" fontId="0" fillId="0" borderId="0" xfId="0" applyNumberFormat="1"/>
    <xf numFmtId="0" fontId="0" fillId="3" borderId="0" xfId="0" applyFill="1"/>
    <xf numFmtId="167" fontId="0" fillId="3" borderId="0" xfId="0" applyNumberFormat="1" applyFill="1"/>
    <xf numFmtId="0" fontId="0" fillId="0" borderId="0" xfId="0" applyAlignment="1">
      <alignment vertical="center"/>
    </xf>
    <xf numFmtId="5" fontId="0" fillId="0" borderId="0" xfId="0" applyNumberFormat="1"/>
    <xf numFmtId="164" fontId="38" fillId="0" borderId="2" xfId="0" applyNumberFormat="1" applyFont="1" applyFill="1" applyBorder="1" applyAlignment="1" applyProtection="1">
      <alignment horizontal="center" vertical="center" wrapText="1"/>
      <protection hidden="1"/>
    </xf>
    <xf numFmtId="0" fontId="3" fillId="0" borderId="0" xfId="0" applyFont="1" applyFill="1"/>
    <xf numFmtId="20" fontId="32" fillId="38" borderId="0" xfId="0" applyNumberFormat="1" applyFont="1" applyFill="1" applyAlignment="1">
      <alignment horizontal="left"/>
    </xf>
    <xf numFmtId="20" fontId="2" fillId="0" borderId="0" xfId="0" applyNumberFormat="1" applyFont="1" applyAlignment="1">
      <alignment horizontal="left"/>
    </xf>
    <xf numFmtId="20" fontId="3" fillId="0" borderId="0" xfId="0" applyNumberFormat="1" applyFont="1" applyAlignment="1">
      <alignment horizontal="left"/>
    </xf>
    <xf numFmtId="0" fontId="2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3" fillId="0" borderId="0" xfId="0" applyFont="1" applyAlignment="1">
      <alignment horizontal="center" vertical="center" wrapText="1"/>
    </xf>
    <xf numFmtId="0" fontId="37" fillId="38" borderId="1" xfId="0" applyFont="1" applyFill="1" applyBorder="1" applyAlignment="1" applyProtection="1">
      <alignment horizontal="center" vertical="center"/>
      <protection locked="0"/>
    </xf>
    <xf numFmtId="3" fontId="38" fillId="38" borderId="1" xfId="0" applyNumberFormat="1" applyFont="1" applyFill="1" applyBorder="1" applyAlignment="1" applyProtection="1">
      <alignment horizontal="center" vertical="center" wrapText="1"/>
      <protection locked="0"/>
    </xf>
    <xf numFmtId="164" fontId="38" fillId="0" borderId="1" xfId="0" applyNumberFormat="1" applyFont="1" applyBorder="1" applyAlignment="1" applyProtection="1">
      <alignment horizontal="center" vertical="center" wrapText="1"/>
      <protection hidden="1"/>
    </xf>
    <xf numFmtId="0" fontId="0" fillId="0" borderId="0" xfId="0" applyAlignment="1">
      <alignment horizontal="center"/>
    </xf>
    <xf numFmtId="0" fontId="0" fillId="3" borderId="0" xfId="0" applyFill="1" applyAlignment="1">
      <alignment horizontal="center"/>
    </xf>
    <xf numFmtId="8" fontId="27" fillId="36" borderId="22" xfId="0" applyNumberFormat="1" applyFont="1" applyFill="1" applyBorder="1" applyAlignment="1">
      <alignment horizontal="center" vertical="center"/>
    </xf>
    <xf numFmtId="8" fontId="27" fillId="36" borderId="24" xfId="0" applyNumberFormat="1" applyFont="1" applyFill="1" applyBorder="1" applyAlignment="1">
      <alignment horizontal="center" vertical="center"/>
    </xf>
    <xf numFmtId="8" fontId="27" fillId="36" borderId="21" xfId="0" applyNumberFormat="1" applyFont="1" applyFill="1" applyBorder="1" applyAlignment="1">
      <alignment horizontal="center" vertical="center"/>
    </xf>
    <xf numFmtId="8" fontId="28" fillId="36" borderId="22" xfId="0" applyNumberFormat="1" applyFont="1" applyFill="1" applyBorder="1" applyAlignment="1">
      <alignment horizontal="center" vertical="center" wrapText="1"/>
    </xf>
    <xf numFmtId="8" fontId="28" fillId="36" borderId="21" xfId="0" applyNumberFormat="1" applyFont="1" applyFill="1" applyBorder="1" applyAlignment="1">
      <alignment horizontal="center" vertical="center" wrapText="1"/>
    </xf>
    <xf numFmtId="0" fontId="8" fillId="36" borderId="1" xfId="0" applyFont="1" applyFill="1" applyBorder="1" applyAlignment="1">
      <alignment horizontal="center" vertical="center"/>
    </xf>
    <xf numFmtId="0" fontId="28" fillId="3" borderId="22" xfId="0" applyFont="1" applyFill="1" applyBorder="1" applyAlignment="1">
      <alignment horizontal="center" vertical="center"/>
    </xf>
    <xf numFmtId="0" fontId="28" fillId="3" borderId="24" xfId="0" applyFont="1" applyFill="1" applyBorder="1" applyAlignment="1">
      <alignment horizontal="center" vertical="center"/>
    </xf>
    <xf numFmtId="0" fontId="28" fillId="3" borderId="21" xfId="0" applyFont="1" applyFill="1" applyBorder="1" applyAlignment="1">
      <alignment horizontal="center" vertical="center"/>
    </xf>
    <xf numFmtId="0" fontId="8" fillId="3" borderId="22" xfId="0" applyFont="1" applyFill="1" applyBorder="1" applyAlignment="1">
      <alignment horizontal="center" vertical="center"/>
    </xf>
    <xf numFmtId="0" fontId="8" fillId="3" borderId="21" xfId="0" applyFont="1" applyFill="1" applyBorder="1" applyAlignment="1">
      <alignment horizontal="center" vertical="center"/>
    </xf>
    <xf numFmtId="0" fontId="8" fillId="3" borderId="25" xfId="0" applyFont="1" applyFill="1" applyBorder="1" applyAlignment="1">
      <alignment horizontal="center" vertical="center"/>
    </xf>
    <xf numFmtId="0" fontId="8" fillId="3" borderId="52" xfId="0" applyFont="1" applyFill="1" applyBorder="1" applyAlignment="1">
      <alignment horizontal="center" vertical="center"/>
    </xf>
    <xf numFmtId="0" fontId="8" fillId="3" borderId="24" xfId="0" applyFont="1" applyFill="1" applyBorder="1" applyAlignment="1">
      <alignment horizontal="center" vertical="center"/>
    </xf>
    <xf numFmtId="0" fontId="8" fillId="36" borderId="52" xfId="0" applyFont="1" applyFill="1" applyBorder="1" applyAlignment="1">
      <alignment horizontal="center" vertical="center" wrapText="1"/>
    </xf>
    <xf numFmtId="0" fontId="28" fillId="0" borderId="22" xfId="0" applyFont="1" applyFill="1" applyBorder="1" applyAlignment="1">
      <alignment horizontal="center" vertical="center"/>
    </xf>
    <xf numFmtId="0" fontId="28" fillId="0" borderId="24" xfId="0" applyFont="1" applyFill="1" applyBorder="1" applyAlignment="1">
      <alignment horizontal="center" vertical="center"/>
    </xf>
    <xf numFmtId="0" fontId="28" fillId="0" borderId="21" xfId="0" applyFont="1" applyFill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0" fillId="0" borderId="50" xfId="0" applyFont="1" applyBorder="1" applyAlignment="1">
      <alignment horizontal="center" vertical="center"/>
    </xf>
    <xf numFmtId="0" fontId="0" fillId="0" borderId="22" xfId="0" applyFont="1" applyBorder="1" applyAlignment="1">
      <alignment horizontal="center" vertical="center"/>
    </xf>
    <xf numFmtId="0" fontId="0" fillId="0" borderId="21" xfId="0" applyFont="1" applyBorder="1" applyAlignment="1">
      <alignment horizontal="center" vertical="center"/>
    </xf>
    <xf numFmtId="0" fontId="8" fillId="0" borderId="38" xfId="0" applyFont="1" applyBorder="1" applyAlignment="1">
      <alignment horizontal="center" vertical="center"/>
    </xf>
    <xf numFmtId="0" fontId="8" fillId="0" borderId="19" xfId="0" applyFont="1" applyFill="1" applyBorder="1" applyAlignment="1">
      <alignment horizontal="center" vertical="center" wrapText="1"/>
    </xf>
    <xf numFmtId="0" fontId="8" fillId="0" borderId="16" xfId="0" applyFont="1" applyFill="1" applyBorder="1" applyAlignment="1">
      <alignment horizontal="center" vertical="center" wrapText="1"/>
    </xf>
    <xf numFmtId="164" fontId="28" fillId="0" borderId="19" xfId="0" applyNumberFormat="1" applyFont="1" applyFill="1" applyBorder="1" applyAlignment="1">
      <alignment horizontal="center" vertical="center"/>
    </xf>
    <xf numFmtId="164" fontId="28" fillId="0" borderId="16" xfId="0" applyNumberFormat="1" applyFont="1" applyFill="1" applyBorder="1" applyAlignment="1">
      <alignment horizontal="center" vertical="center"/>
    </xf>
    <xf numFmtId="0" fontId="28" fillId="36" borderId="22" xfId="0" applyFont="1" applyFill="1" applyBorder="1" applyAlignment="1">
      <alignment horizontal="center" vertical="center"/>
    </xf>
    <xf numFmtId="0" fontId="28" fillId="36" borderId="24" xfId="0" applyFont="1" applyFill="1" applyBorder="1" applyAlignment="1">
      <alignment horizontal="center" vertical="center"/>
    </xf>
    <xf numFmtId="0" fontId="28" fillId="36" borderId="21" xfId="0" applyFont="1" applyFill="1" applyBorder="1" applyAlignment="1">
      <alignment horizontal="center" vertical="center"/>
    </xf>
    <xf numFmtId="0" fontId="28" fillId="36" borderId="0" xfId="0" applyFont="1" applyFill="1" applyAlignment="1">
      <alignment horizontal="center" vertical="center"/>
    </xf>
    <xf numFmtId="0" fontId="28" fillId="36" borderId="48" xfId="0" applyFont="1" applyFill="1" applyBorder="1" applyAlignment="1">
      <alignment horizontal="center" vertical="center"/>
    </xf>
    <xf numFmtId="8" fontId="25" fillId="0" borderId="56" xfId="0" applyNumberFormat="1" applyFont="1" applyBorder="1" applyAlignment="1">
      <alignment horizontal="center" vertical="center" wrapText="1"/>
    </xf>
    <xf numFmtId="8" fontId="25" fillId="0" borderId="55" xfId="0" applyNumberFormat="1" applyFont="1" applyBorder="1" applyAlignment="1">
      <alignment horizontal="center" vertical="center" wrapText="1"/>
    </xf>
    <xf numFmtId="8" fontId="25" fillId="0" borderId="54" xfId="0" applyNumberFormat="1" applyFont="1" applyBorder="1" applyAlignment="1">
      <alignment horizontal="center" vertical="center" wrapText="1"/>
    </xf>
    <xf numFmtId="0" fontId="8" fillId="36" borderId="22" xfId="0" applyFont="1" applyFill="1" applyBorder="1" applyAlignment="1">
      <alignment horizontal="center" vertical="center"/>
    </xf>
    <xf numFmtId="0" fontId="8" fillId="36" borderId="24" xfId="0" applyFont="1" applyFill="1" applyBorder="1" applyAlignment="1">
      <alignment horizontal="center" vertical="center"/>
    </xf>
    <xf numFmtId="0" fontId="8" fillId="36" borderId="21" xfId="0" applyFont="1" applyFill="1" applyBorder="1" applyAlignment="1">
      <alignment horizontal="center" vertical="center"/>
    </xf>
    <xf numFmtId="0" fontId="8" fillId="3" borderId="62" xfId="0" applyFont="1" applyFill="1" applyBorder="1" applyAlignment="1">
      <alignment horizontal="center" vertical="center" wrapText="1"/>
    </xf>
    <xf numFmtId="0" fontId="8" fillId="3" borderId="61" xfId="0" applyFont="1" applyFill="1" applyBorder="1" applyAlignment="1">
      <alignment horizontal="center" vertical="center" wrapText="1"/>
    </xf>
    <xf numFmtId="0" fontId="8" fillId="3" borderId="22" xfId="0" applyFont="1" applyFill="1" applyBorder="1" applyAlignment="1">
      <alignment horizontal="center" vertical="center" wrapText="1"/>
    </xf>
    <xf numFmtId="0" fontId="8" fillId="3" borderId="60" xfId="0" applyFont="1" applyFill="1" applyBorder="1" applyAlignment="1">
      <alignment horizontal="center" vertical="center" wrapText="1"/>
    </xf>
    <xf numFmtId="0" fontId="0" fillId="0" borderId="38" xfId="0" applyFont="1" applyBorder="1" applyAlignment="1">
      <alignment horizontal="center" vertical="center" wrapText="1"/>
    </xf>
    <xf numFmtId="0" fontId="0" fillId="0" borderId="36" xfId="0" applyFont="1" applyBorder="1" applyAlignment="1">
      <alignment horizontal="center" vertical="center" wrapText="1"/>
    </xf>
    <xf numFmtId="0" fontId="0" fillId="0" borderId="33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45" xfId="0" applyFont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 wrapText="1"/>
    </xf>
    <xf numFmtId="0" fontId="8" fillId="36" borderId="22" xfId="0" applyFont="1" applyFill="1" applyBorder="1" applyAlignment="1">
      <alignment horizontal="center" vertical="center" wrapText="1"/>
    </xf>
    <xf numFmtId="0" fontId="8" fillId="36" borderId="21" xfId="0" applyFont="1" applyFill="1" applyBorder="1" applyAlignment="1">
      <alignment horizontal="center" vertical="center" wrapText="1"/>
    </xf>
    <xf numFmtId="0" fontId="0" fillId="3" borderId="22" xfId="0" applyFont="1" applyFill="1" applyBorder="1" applyAlignment="1">
      <alignment horizontal="center" vertical="center"/>
    </xf>
    <xf numFmtId="0" fontId="0" fillId="3" borderId="24" xfId="0" applyFont="1" applyFill="1" applyBorder="1" applyAlignment="1">
      <alignment horizontal="center" vertical="center"/>
    </xf>
    <xf numFmtId="0" fontId="0" fillId="3" borderId="21" xfId="0" applyFont="1" applyFill="1" applyBorder="1" applyAlignment="1">
      <alignment horizontal="center" vertical="center"/>
    </xf>
    <xf numFmtId="0" fontId="28" fillId="0" borderId="41" xfId="0" applyFont="1" applyFill="1" applyBorder="1" applyAlignment="1">
      <alignment horizontal="center" vertical="center" wrapText="1"/>
    </xf>
    <xf numFmtId="0" fontId="28" fillId="0" borderId="34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8" fillId="0" borderId="26" xfId="0" applyFont="1" applyFill="1" applyBorder="1" applyAlignment="1">
      <alignment horizontal="center" vertical="center" wrapText="1"/>
    </xf>
    <xf numFmtId="0" fontId="0" fillId="0" borderId="25" xfId="0" applyFont="1" applyFill="1" applyBorder="1" applyAlignment="1">
      <alignment horizontal="center" vertical="center" wrapText="1"/>
    </xf>
    <xf numFmtId="0" fontId="0" fillId="0" borderId="15" xfId="0" applyFont="1" applyFill="1" applyBorder="1" applyAlignment="1">
      <alignment horizontal="center" vertical="center" wrapText="1"/>
    </xf>
    <xf numFmtId="20" fontId="32" fillId="0" borderId="0" xfId="0" applyNumberFormat="1" applyFont="1" applyAlignment="1">
      <alignment horizontal="center" vertical="center"/>
    </xf>
    <xf numFmtId="20" fontId="1" fillId="0" borderId="0" xfId="0" applyNumberFormat="1" applyFont="1" applyAlignment="1">
      <alignment horizontal="center" vertical="center"/>
    </xf>
  </cellXfs>
  <cellStyles count="49">
    <cellStyle name="20 % - Accent1 2" xfId="19" xr:uid="{00000000-0005-0000-0000-00002F000000}"/>
    <cellStyle name="20 % - Accent2 2" xfId="23" xr:uid="{00000000-0005-0000-0000-000030000000}"/>
    <cellStyle name="20 % - Accent3 2" xfId="27" xr:uid="{00000000-0005-0000-0000-000031000000}"/>
    <cellStyle name="20 % - Accent4 2" xfId="31" xr:uid="{00000000-0005-0000-0000-000032000000}"/>
    <cellStyle name="20 % - Accent5 2" xfId="35" xr:uid="{00000000-0005-0000-0000-000033000000}"/>
    <cellStyle name="20 % - Accent6 2" xfId="39" xr:uid="{00000000-0005-0000-0000-000034000000}"/>
    <cellStyle name="40 % - Accent1 2" xfId="20" xr:uid="{00000000-0005-0000-0000-000035000000}"/>
    <cellStyle name="40 % - Accent2 2" xfId="24" xr:uid="{00000000-0005-0000-0000-000036000000}"/>
    <cellStyle name="40 % - Accent3 2" xfId="28" xr:uid="{00000000-0005-0000-0000-000037000000}"/>
    <cellStyle name="40 % - Accent4 2" xfId="32" xr:uid="{00000000-0005-0000-0000-000038000000}"/>
    <cellStyle name="40 % - Accent5 2" xfId="36" xr:uid="{00000000-0005-0000-0000-000039000000}"/>
    <cellStyle name="40 % - Accent6 2" xfId="40" xr:uid="{00000000-0005-0000-0000-00003A000000}"/>
    <cellStyle name="60 % - Accent1 2" xfId="21" xr:uid="{00000000-0005-0000-0000-00003B000000}"/>
    <cellStyle name="60 % - Accent2 2" xfId="25" xr:uid="{00000000-0005-0000-0000-00003C000000}"/>
    <cellStyle name="60 % - Accent3 2" xfId="29" xr:uid="{00000000-0005-0000-0000-00003D000000}"/>
    <cellStyle name="60 % - Accent4 2" xfId="33" xr:uid="{00000000-0005-0000-0000-00003E000000}"/>
    <cellStyle name="60 % - Accent5 2" xfId="37" xr:uid="{00000000-0005-0000-0000-00003F000000}"/>
    <cellStyle name="60 % - Accent6 2" xfId="41" xr:uid="{00000000-0005-0000-0000-000040000000}"/>
    <cellStyle name="Accent1 2" xfId="18" xr:uid="{00000000-0005-0000-0000-000041000000}"/>
    <cellStyle name="Accent2 2" xfId="22" xr:uid="{00000000-0005-0000-0000-000042000000}"/>
    <cellStyle name="Accent3 2" xfId="26" xr:uid="{00000000-0005-0000-0000-000043000000}"/>
    <cellStyle name="Accent4 2" xfId="30" xr:uid="{00000000-0005-0000-0000-000044000000}"/>
    <cellStyle name="Accent5 2" xfId="34" xr:uid="{00000000-0005-0000-0000-000045000000}"/>
    <cellStyle name="Accent6 2" xfId="38" xr:uid="{00000000-0005-0000-0000-000046000000}"/>
    <cellStyle name="Avertissement 2" xfId="15" xr:uid="{00000000-0005-0000-0000-000047000000}"/>
    <cellStyle name="Calcul 2" xfId="12" xr:uid="{00000000-0005-0000-0000-000048000000}"/>
    <cellStyle name="Cellule liée 2" xfId="13" xr:uid="{00000000-0005-0000-0000-000049000000}"/>
    <cellStyle name="Entrée 2" xfId="10" xr:uid="{00000000-0005-0000-0000-00004A000000}"/>
    <cellStyle name="Insatisfaisant 2" xfId="8" xr:uid="{00000000-0005-0000-0000-00004B000000}"/>
    <cellStyle name="Monétaire" xfId="47" builtinId="4"/>
    <cellStyle name="Neutre 2" xfId="9" xr:uid="{00000000-0005-0000-0000-00004C000000}"/>
    <cellStyle name="Normal" xfId="0" builtinId="0"/>
    <cellStyle name="Normal 2" xfId="42" xr:uid="{6F91F443-D6C6-4BC9-95A2-7582126051A8}"/>
    <cellStyle name="Normal 3" xfId="43" xr:uid="{B1952E35-0957-42AC-9C63-AC41AC99DB6E}"/>
    <cellStyle name="Normal 3 2" xfId="45" xr:uid="{17355395-BE07-4B0D-B649-CD2AE902AF60}"/>
    <cellStyle name="Normal 4" xfId="44" xr:uid="{4F6337D5-6F81-4BA2-A8D0-447701662F1B}"/>
    <cellStyle name="Normal 5" xfId="46" xr:uid="{CD54C9DF-E680-4BA4-823C-D57CC64DAFB9}"/>
    <cellStyle name="Note" xfId="2" builtinId="10" customBuiltin="1"/>
    <cellStyle name="Pourcentage" xfId="48" builtinId="5"/>
    <cellStyle name="Satisfaisant 2" xfId="7" xr:uid="{00000000-0005-0000-0000-000052000000}"/>
    <cellStyle name="Sortie 2" xfId="11" xr:uid="{00000000-0005-0000-0000-000053000000}"/>
    <cellStyle name="Texte explicatif 2" xfId="16" xr:uid="{00000000-0005-0000-0000-000054000000}"/>
    <cellStyle name="Titre" xfId="1" builtinId="15" customBuiltin="1"/>
    <cellStyle name="Titre 1 2" xfId="3" xr:uid="{00000000-0005-0000-0000-000055000000}"/>
    <cellStyle name="Titre 2 2" xfId="4" xr:uid="{00000000-0005-0000-0000-000056000000}"/>
    <cellStyle name="Titre 3 2" xfId="5" xr:uid="{00000000-0005-0000-0000-000057000000}"/>
    <cellStyle name="Titre 4 2" xfId="6" xr:uid="{00000000-0005-0000-0000-000058000000}"/>
    <cellStyle name="Total 2" xfId="17" xr:uid="{00000000-0005-0000-0000-000059000000}"/>
    <cellStyle name="Vérification 2" xfId="14" xr:uid="{00000000-0005-0000-0000-00005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0"/>
  <sheetViews>
    <sheetView tabSelected="1" zoomScaleNormal="100" workbookViewId="0">
      <selection activeCell="E23" sqref="E23"/>
    </sheetView>
  </sheetViews>
  <sheetFormatPr baseColWidth="10" defaultRowHeight="15" x14ac:dyDescent="0.25"/>
  <cols>
    <col min="1" max="1" width="16.28515625" style="117" bestFit="1" customWidth="1"/>
    <col min="2" max="3" width="9.140625" style="115" customWidth="1"/>
    <col min="4" max="4" width="12.7109375" style="115" bestFit="1" customWidth="1"/>
    <col min="5" max="5" width="11.42578125" style="115" bestFit="1" customWidth="1"/>
    <col min="6" max="6" width="10.28515625" style="134" bestFit="1" customWidth="1"/>
    <col min="7" max="7" width="9.85546875" style="134" customWidth="1"/>
    <col min="8" max="8" width="11.28515625" style="135" customWidth="1"/>
    <col min="9" max="9" width="10.85546875" style="135" customWidth="1"/>
    <col min="10" max="10" width="11.7109375" style="115" bestFit="1" customWidth="1"/>
    <col min="11" max="11" width="10.85546875" style="115" bestFit="1" customWidth="1"/>
    <col min="12" max="12" width="11.85546875" style="115" bestFit="1" customWidth="1"/>
    <col min="13" max="14" width="12.42578125" style="115" bestFit="1" customWidth="1"/>
    <col min="15" max="16" width="12.28515625" style="115" customWidth="1"/>
    <col min="17" max="18" width="11.7109375" style="115" bestFit="1" customWidth="1"/>
    <col min="19" max="19" width="10.140625" style="115" bestFit="1" customWidth="1"/>
    <col min="20" max="20" width="8.42578125" style="115" bestFit="1" customWidth="1"/>
    <col min="21" max="16384" width="11.42578125" style="115"/>
  </cols>
  <sheetData>
    <row r="1" spans="1:20" ht="29.45" customHeight="1" x14ac:dyDescent="0.25">
      <c r="A1" s="172" t="s">
        <v>6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72"/>
      <c r="Q1" s="172"/>
      <c r="R1" s="172"/>
      <c r="S1" s="172"/>
      <c r="T1" s="172"/>
    </row>
    <row r="2" spans="1:20" s="138" customFormat="1" ht="96.75" customHeight="1" x14ac:dyDescent="0.25">
      <c r="B2" s="140" t="s">
        <v>88</v>
      </c>
      <c r="C2" s="140" t="s">
        <v>93</v>
      </c>
      <c r="D2" s="140" t="s">
        <v>147</v>
      </c>
      <c r="E2" s="140" t="s">
        <v>90</v>
      </c>
      <c r="F2" s="141" t="s">
        <v>89</v>
      </c>
      <c r="G2" s="139" t="s">
        <v>5</v>
      </c>
      <c r="H2" s="116" t="s">
        <v>92</v>
      </c>
      <c r="I2" s="116" t="s">
        <v>91</v>
      </c>
      <c r="J2" s="116" t="s">
        <v>149</v>
      </c>
      <c r="K2" s="116" t="s">
        <v>148</v>
      </c>
      <c r="L2" s="116" t="s">
        <v>85</v>
      </c>
      <c r="M2" s="116" t="s">
        <v>80</v>
      </c>
      <c r="N2" s="116" t="s">
        <v>81</v>
      </c>
      <c r="O2" s="116" t="s">
        <v>84</v>
      </c>
      <c r="P2" s="116" t="s">
        <v>83</v>
      </c>
      <c r="Q2" s="116" t="s">
        <v>151</v>
      </c>
      <c r="R2" s="116" t="s">
        <v>152</v>
      </c>
      <c r="S2" s="116" t="s">
        <v>4</v>
      </c>
      <c r="T2" s="116" t="s">
        <v>82</v>
      </c>
    </row>
    <row r="3" spans="1:20" ht="21" customHeight="1" x14ac:dyDescent="0.25">
      <c r="B3" s="170" t="s">
        <v>145</v>
      </c>
      <c r="C3" s="171"/>
      <c r="D3" s="171"/>
      <c r="E3" s="171"/>
      <c r="F3" s="171"/>
      <c r="G3" s="118"/>
      <c r="H3" s="119">
        <v>7</v>
      </c>
      <c r="I3" s="119">
        <v>7</v>
      </c>
      <c r="J3" s="119">
        <v>220</v>
      </c>
      <c r="K3" s="119">
        <v>37</v>
      </c>
      <c r="L3" s="119">
        <v>4.9000000000000004</v>
      </c>
      <c r="M3" s="119">
        <v>11.5</v>
      </c>
      <c r="N3" s="119">
        <v>12.5</v>
      </c>
      <c r="O3" s="119">
        <v>710</v>
      </c>
      <c r="P3" s="119">
        <v>2870</v>
      </c>
      <c r="Q3" s="120">
        <v>16.55</v>
      </c>
      <c r="R3" s="120">
        <v>21.51</v>
      </c>
      <c r="S3" s="119">
        <v>909</v>
      </c>
      <c r="T3" s="119"/>
    </row>
    <row r="4" spans="1:20" s="124" customFormat="1" ht="28.5" customHeight="1" thickBot="1" x14ac:dyDescent="0.3">
      <c r="A4" s="121" t="s">
        <v>2</v>
      </c>
      <c r="B4" s="173"/>
      <c r="C4" s="173"/>
      <c r="D4" s="174"/>
      <c r="E4" s="175" t="e">
        <f>IF(D4/C4&gt;11999,'tarif 2024 (09)'!A35,IF(D4/C4&gt;9525,'tarif 2024 (09)'!A34,IF(D4/C4&gt;7619,'tarif 2024 (09)'!A33,IF(D4/C4&gt;5719,'tarif 2024 (09)'!A32,IF(D4/C4&gt;2856,'tarif 2024 (09)'!A31,'tarif 2024 (09)'!A30)))))</f>
        <v>#DIV/0!</v>
      </c>
      <c r="F4" s="122" t="e">
        <f>VLOOKUP(B4,'tarif 2024 (09)'!C3:D12,2,FALSE)</f>
        <v>#N/A</v>
      </c>
      <c r="G4" s="123" t="e">
        <f>IF(F4=0.0619%,IF(+D4/12*F4&gt;'tarif 2024 (09)'!$F$3,'tarif 2024 (09)'!$F$3,IF(+D4/12*F4&lt;'tarif 2024 (09)'!$E$3,'tarif 2024 (09)'!$E$3,+D4/12*F4)),IF(F4=0.0516%,IF(+D4/12*F4&gt;'tarif 2024 (09)'!$F$4,'tarif 2024 (09)'!$F$4,IF(+D4/12*F4&lt;'tarif 2024 (09)'!$E$4,'tarif 2024 (09)'!$E$4,+D4/12*F4)),IF(F4=0.0413%,IF(+D4/12*F4&gt;'tarif 2024 (09)'!$F$5,'tarif 2024 (09)'!$F$5,IF(+D4/12*F4&lt;'tarif 2024 (09)'!E5,'tarif 2024 (09)'!$E$5,+D4/12*F4)),IF(F4=0.031%,IF(+D4/12*F4&gt;'tarif 2024 (09)'!$F$6,'tarif 2024 (09)'!$F$6,IF(+D4/12*F4&lt;'tarif 2024 (09)'!$E$6, 'tarif 2024 (09)'!$E$6,+D4/12*F4)),IF(F4=0.0206%,IF(+D4/12*F4&gt;'tarif 2024 (09)'!$F$10, 'tarif 2024 (09)'!$F$10,IF(D4/12*F4&lt;'tarif 2024 (09)'!$E$10,'tarif 2024 (09)'!$E$10,+D4/12*F4)))))))</f>
        <v>#N/A</v>
      </c>
      <c r="H4" s="123" t="e">
        <f>IF($E$4='tarif 2024 (09)'!$A$35,'tarif 2024 (09)'!E35,IF($E$4='tarif 2024 (09)'!$A$34,'tarif 2024 (09)'!E34,IF($E$4='tarif 2024 (09)'!$A$33,'tarif 2024 (09)'!E33,IF($E$4='tarif 2024 (09)'!$A$32,'tarif 2024 (09)'!E32,IF($E$4='tarif 2024 (09)'!$A$31,'tarif 2024 (09)'!E31,'tarif 2024 (09)'!E30)))))</f>
        <v>#DIV/0!</v>
      </c>
      <c r="I4" s="123" t="e">
        <f>IF($E$4='tarif 2024 (09)'!$A$35,'tarif 2024 (09)'!J35,IF($E$4='tarif 2024 (09)'!$A$34,'tarif 2024 (09)'!J34,IF($E$4='tarif 2024 (09)'!$A$33,'tarif 2024 (09)'!$J$33,IF($E$4='tarif 2024 (09)'!$A$32,'tarif 2024 (09)'!J32,IF($E$4='tarif 2024 (09)'!$A$31,'tarif 2024 (09)'!J31,'tarif 2024 (09)'!J30)))))</f>
        <v>#DIV/0!</v>
      </c>
      <c r="J4" s="123" t="e">
        <f>IF($E$4='tarif 2024 (09)'!$A$35,'tarif 2024 (09)'!C47,IF($E$4='tarif 2024 (09)'!$A$34,'tarif 2024 (09)'!C46,IF($E$4='tarif 2024 (09)'!$A$33,'tarif 2024 (09)'!C45,IF($E$4='tarif 2024 (09)'!$A$32,'tarif 2024 (09)'!C44,IF($E$4='tarif 2024 (09)'!$A$31,'tarif 2024 (09)'!C43,'tarif 2024 (09)'!C42)))))*5</f>
        <v>#DIV/0!</v>
      </c>
      <c r="K4" s="123" t="e">
        <f>IF($E$4='tarif 2024 (09)'!$A$35,'tarif 2024 (09)'!E47,IF($E$4='tarif 2024 (09)'!$A$34,'tarif 2024 (09)'!E46,IF($E$4='tarif 2024 (09)'!$A$33,'tarif 2024 (09)'!E45,IF($E$4='tarif 2024 (09)'!$A$32,'tarif 2024 (09)'!E44,IF($E$4='tarif 2024 (09)'!$A$31,'tarif 2024 (09)'!E43,'tarif 2024 (09)'!E42)))))</f>
        <v>#DIV/0!</v>
      </c>
      <c r="L4" s="123">
        <f>'tarif 2024 (09)'!E52</f>
        <v>2.5099999999999998</v>
      </c>
      <c r="M4" s="123">
        <f>'tarif 2024 (09)'!C16</f>
        <v>3.53</v>
      </c>
      <c r="N4" s="123">
        <f>'tarif 2024 (09)'!C15</f>
        <v>4.17</v>
      </c>
      <c r="O4" s="123" t="e">
        <f>IF($E$4='tarif 2024 (09)'!$A$35,'tarif 2024 (09)'!M47,IF($E$4='tarif 2024 (09)'!$A$34,'tarif 2024 (09)'!M46,IF($E$4='tarif 2024 (09)'!$A$33,'tarif 2024 (09)'!M45,IF($E$4='tarif 2024 (09)'!$A$32,'tarif 2024 (09)'!M44,IF($E$4='tarif 2024 (09)'!$A$31,'tarif 2024 (09)'!M43,'tarif 2024 (09)'!M42)))))</f>
        <v>#DIV/0!</v>
      </c>
      <c r="P4" s="123" t="e">
        <f>IF($E$4='tarif 2024 (09)'!$A$35,'tarif 2024 (09)'!G47,IF($E$4='tarif 2024 (09)'!$A$34,'tarif 2024 (09)'!G46,IF($E$4='tarif 2024 (09)'!$A$33,'tarif 2024 (09)'!G45,IF($E$4='tarif 2024 (09)'!$A$32,'tarif 2024 (09)'!G44,IF($E$4='tarif 2024 (09)'!$A$31,'tarif 2024 (09)'!G43,'tarif 2024 (09)'!G42)))))</f>
        <v>#DIV/0!</v>
      </c>
      <c r="Q4" s="123" t="e">
        <f>IF($E$4='tarif 2024 (09)'!$A$35,'tarif 2024 (09)'!H47,IF($E$4='tarif 2024 (09)'!$A$34,'tarif 2024 (09)'!H46,IF($E$4='tarif 2024 (09)'!$A$33,'tarif 2024 (09)'!H45,IF($E$4='tarif 2024 (09)'!$A$32,'tarif 2024 (09)'!H44,IF($E$4='tarif 2024 (09)'!$A$31,'tarif 2024 (09)'!H43,'tarif 2024 (09)'!H42)))))</f>
        <v>#DIV/0!</v>
      </c>
      <c r="R4" s="123" t="e">
        <f>IF($E$4='tarif 2024 (09)'!$A$35,'tarif 2024 (09)'!I47,IF($E$4='tarif 2024 (09)'!$A$34,'tarif 2024 (09)'!I46,IF($E$4='tarif 2024 (09)'!$A$33,'tarif 2024 (09)'!I45,IF($E$4='tarif 2024 (09)'!$A$32,'tarif 2024 (09)'!I44,IF($E$4='tarif 2024 (09)'!$A$31,'tarif 2024 (09)'!I43,'tarif 2024 (09)'!I42)))))</f>
        <v>#DIV/0!</v>
      </c>
      <c r="S4" s="165" t="e">
        <f>IF($E$4='tarif 2024 (09)'!$A$35,'tarif 2024 (09)'!G21,IF($E$4='tarif 2024 (09)'!$A$34,'tarif 2024 (09)'!G20,IF($E$4='tarif 2024 (09)'!$A$33,'tarif 2024 (09)'!G19,IF($E$4='tarif 2024 (09)'!$A$32,'tarif 2024 (09)'!G18,IF($E$4='tarif 2024 (09)'!$A$31,'tarif 2024 (09)'!G17,'tarif 2024 (09)'!G16)))))</f>
        <v>#DIV/0!</v>
      </c>
      <c r="T4" s="123">
        <f>'tarif 2024 (09)'!K15</f>
        <v>2.7</v>
      </c>
    </row>
    <row r="5" spans="1:20" s="166" customFormat="1" ht="12.75" customHeight="1" thickTop="1" x14ac:dyDescent="0.25">
      <c r="A5" s="125"/>
      <c r="B5" s="173"/>
      <c r="C5" s="173"/>
      <c r="D5" s="174"/>
      <c r="E5" s="175"/>
      <c r="F5" s="142"/>
      <c r="G5" s="126"/>
      <c r="H5" s="127"/>
      <c r="I5" s="127"/>
      <c r="J5" s="127"/>
      <c r="K5" s="127"/>
      <c r="L5" s="127"/>
      <c r="M5" s="127"/>
      <c r="N5" s="127"/>
      <c r="O5" s="127"/>
      <c r="P5" s="127"/>
      <c r="Q5" s="127"/>
      <c r="R5" s="127"/>
      <c r="S5" s="128"/>
      <c r="T5" s="127"/>
    </row>
    <row r="6" spans="1:20" s="133" customFormat="1" ht="27.75" customHeight="1" x14ac:dyDescent="0.25">
      <c r="A6" s="129" t="s">
        <v>3</v>
      </c>
      <c r="B6" s="173"/>
      <c r="C6" s="173"/>
      <c r="D6" s="174"/>
      <c r="E6" s="175"/>
      <c r="F6" s="143"/>
      <c r="G6" s="130"/>
      <c r="H6" s="131" t="e">
        <f>IF($E$4='tarif 2024 (09)'!$A$35,'tarif 2024 (09)'!O35,IF($E$4='tarif 2024 (09)'!$A$34,'tarif 2024 (09)'!O34,IF($E$4='tarif 2024 (09)'!$A$33,'tarif 2024 (09)'!O33,IF($E$4='tarif 2024 (09)'!$A$32,'tarif 2024 (09)'!O32,IF($E$4='tarif 2024 (09)'!$A$31,'tarif 2024 (09)'!O31,'tarif 2024 (09)'!O30)))))</f>
        <v>#DIV/0!</v>
      </c>
      <c r="I6" s="131" t="e">
        <f>IF($E$4='tarif 2024 (09)'!$A$35,'tarif 2024 (09)'!T35,IF($E$4='tarif 2024 (09)'!$A$34,'tarif 2024 (09)'!T34,IF($E$4='tarif 2024 (09)'!$A$33,'tarif 2024 (09)'!$T33,IF($E$4='tarif 2024 (09)'!$A$32,'tarif 2024 (09)'!T32,IF($E$4='tarif 2024 (09)'!$A$31,'tarif 2024 (09)'!T31,'tarif 2024 (09)'!T30)))))</f>
        <v>#DIV/0!</v>
      </c>
      <c r="J6" s="132" t="e">
        <f>IF($E$4='tarif 2024 (09)'!$A$35,'tarif 2024 (09)'!D47,IF($E$4='tarif 2024 (09)'!$A$34,'tarif 2024 (09)'!D46,IF($E$4='tarif 2024 (09)'!$A$33,'tarif 2024 (09)'!D45,IF($E$4='tarif 2024 (09)'!$A$32,'tarif 2024 (09)'!D44,IF($E$4='tarif 2024 (09)'!$A$31,'tarif 2024 (09)'!D43,'tarif 2024 (09)'!D42)))))*5</f>
        <v>#DIV/0!</v>
      </c>
      <c r="K6" s="132" t="e">
        <f>IF($E$4='tarif 2024 (09)'!$A$35,'tarif 2024 (09)'!F47,IF($E$4='tarif 2024 (09)'!$A$34,'tarif 2024 (09)'!F46,IF($E$4='tarif 2024 (09)'!$A$33,'tarif 2024 (09)'!F45,IF($E$4='tarif 2024 (09)'!$A$32,'tarif 2024 (09)'!F44,IF($E$4='tarif 2024 (09)'!$A$31,'tarif 2024 (09)'!F43,'tarif 2024 (09)'!F42)))))</f>
        <v>#DIV/0!</v>
      </c>
      <c r="L6" s="132">
        <f>'tarif 2024 (09)'!E52</f>
        <v>2.5099999999999998</v>
      </c>
      <c r="M6" s="132">
        <f>'tarif 2024 (09)'!C24</f>
        <v>6.15</v>
      </c>
      <c r="N6" s="132">
        <f>'tarif 2024 (09)'!C23</f>
        <v>7.22</v>
      </c>
      <c r="O6" s="132" t="e">
        <f>IF($E$4='tarif 2024 (09)'!$A$35,'tarif 2024 (09)'!N47,IF($E$4='tarif 2024 (09)'!$A$34,'tarif 2024 (09)'!N46,IF($E$4='tarif 2024 (09)'!$A$33,'tarif 2024 (09)'!N45,IF($E$4='tarif 2024 (09)'!$A$32,'tarif 2024 (09)'!N44,IF($E$4='tarif 2024 (09)'!$A$31,'tarif 2024 (09)'!N43,'tarif 2024 (09)'!N42)))))</f>
        <v>#DIV/0!</v>
      </c>
      <c r="P6" s="132" t="e">
        <f>IF($E$4='tarif 2024 (09)'!$A$35,'tarif 2024 (09)'!J47,IF($E$4='tarif 2024 (09)'!$A$34,'tarif 2024 (09)'!J46,IF($E$4='tarif 2024 (09)'!$A$33,'tarif 2024 (09)'!J45,IF($E$4='tarif 2024 (09)'!$A$32,'tarif 2024 (09)'!J44,IF($E$4='tarif 2024 (09)'!$A$31,'tarif 2024 (09)'!J43,'tarif 2024 (09)'!J42)))))</f>
        <v>#DIV/0!</v>
      </c>
      <c r="Q6" s="132" t="e">
        <f>IF($E$4='tarif 2024 (09)'!$A$35,'tarif 2024 (09)'!K47,IF($E$4='tarif 2024 (09)'!$A$34,'tarif 2024 (09)'!K46,IF($E$4='tarif 2024 (09)'!$A$33,'tarif 2024 (09)'!K45,IF($E$4='tarif 2024 (09)'!$A$32,'tarif 2024 (09)'!K44,IF($E$4='tarif 2024 (09)'!$A$31,'tarif 2024 (09)'!K43,'tarif 2024 (09)'!K42)))))</f>
        <v>#DIV/0!</v>
      </c>
      <c r="R6" s="132" t="e">
        <f>IF($E$4='tarif 2024 (09)'!$A$35,'tarif 2024 (09)'!L47,IF($E$4='tarif 2024 (09)'!$A$34,'tarif 2024 (09)'!L46,IF($E$4='tarif 2024 (09)'!$A$33,'tarif 2024 (09)'!L45,IF($E$4='tarif 2024 (09)'!$A$32,'tarif 2024 (09)'!L44,IF($E$4='tarif 2024 (09)'!$A$31,'tarif 2024 (09)'!L43,'tarif 2024 (09)'!L42)))))</f>
        <v>#DIV/0!</v>
      </c>
      <c r="S6" s="132" t="e">
        <f>IF($E$4='tarif 2024 (09)'!$A$35,'tarif 2024 (09)'!H21,IF($E$4='tarif 2024 (09)'!$A$34,'tarif 2024 (09)'!H20,IF($E$4='tarif 2024 (09)'!$A$33,'tarif 2024 (09)'!H19,IF($E$4='tarif 2024 (09)'!$A$32,'tarif 2024 (09)'!H18,IF($E$4='tarif 2024 (09)'!$A$31,'tarif 2024 (09)'!H17,'tarif 2024 (09)'!H16)))))</f>
        <v>#DIV/0!</v>
      </c>
      <c r="T6" s="132">
        <f>'tarif 2024 (09)'!K15</f>
        <v>2.7</v>
      </c>
    </row>
    <row r="7" spans="1:20" ht="18" customHeight="1" x14ac:dyDescent="0.25"/>
    <row r="8" spans="1:20" x14ac:dyDescent="0.25">
      <c r="B8" s="167" t="s">
        <v>7</v>
      </c>
      <c r="C8" s="167"/>
      <c r="D8" s="167"/>
      <c r="E8" s="167"/>
      <c r="F8" s="167"/>
      <c r="G8" s="167"/>
      <c r="H8" s="167"/>
      <c r="I8" s="167"/>
      <c r="J8" s="167"/>
      <c r="K8" s="167"/>
      <c r="L8" s="167"/>
      <c r="M8" s="167"/>
      <c r="N8" s="167"/>
      <c r="O8" s="167"/>
      <c r="P8" s="167"/>
      <c r="Q8" s="167"/>
      <c r="R8" s="167"/>
      <c r="S8" s="167"/>
      <c r="T8" s="167"/>
    </row>
    <row r="9" spans="1:20" x14ac:dyDescent="0.25">
      <c r="B9" s="167" t="s">
        <v>153</v>
      </c>
      <c r="C9" s="167"/>
      <c r="D9" s="167"/>
      <c r="E9" s="167"/>
      <c r="F9" s="167"/>
      <c r="G9" s="167"/>
      <c r="H9" s="167"/>
      <c r="I9" s="167"/>
      <c r="J9" s="167"/>
      <c r="K9" s="167"/>
      <c r="L9" s="167"/>
      <c r="M9" s="167"/>
      <c r="N9" s="167"/>
      <c r="O9" s="167"/>
      <c r="P9" s="167"/>
      <c r="Q9" s="167"/>
      <c r="R9" s="167"/>
      <c r="S9" s="167"/>
      <c r="T9" s="167"/>
    </row>
    <row r="10" spans="1:20" x14ac:dyDescent="0.25">
      <c r="B10" s="167" t="s">
        <v>154</v>
      </c>
      <c r="C10" s="167"/>
      <c r="D10" s="167"/>
      <c r="E10" s="167"/>
      <c r="F10" s="167"/>
      <c r="G10" s="167"/>
      <c r="H10" s="167"/>
      <c r="I10" s="167"/>
      <c r="J10" s="167"/>
      <c r="K10" s="167"/>
      <c r="L10" s="167"/>
      <c r="M10" s="167"/>
      <c r="N10" s="167"/>
      <c r="O10" s="167"/>
      <c r="P10" s="167"/>
      <c r="Q10" s="167"/>
      <c r="R10" s="167"/>
      <c r="S10" s="167"/>
      <c r="T10" s="167"/>
    </row>
    <row r="11" spans="1:20" x14ac:dyDescent="0.25">
      <c r="B11" s="168" t="s">
        <v>95</v>
      </c>
      <c r="C11" s="169"/>
      <c r="D11" s="169"/>
      <c r="E11" s="169"/>
      <c r="F11" s="169"/>
      <c r="G11" s="169"/>
      <c r="H11" s="169"/>
      <c r="I11" s="169"/>
      <c r="J11" s="169"/>
      <c r="K11" s="169"/>
      <c r="L11" s="169"/>
      <c r="M11" s="169"/>
      <c r="N11" s="169"/>
      <c r="O11" s="169"/>
      <c r="P11" s="169"/>
      <c r="Q11" s="169"/>
      <c r="R11" s="169"/>
      <c r="S11" s="169"/>
      <c r="T11" s="169"/>
    </row>
    <row r="12" spans="1:20" x14ac:dyDescent="0.25">
      <c r="B12" s="169" t="s">
        <v>94</v>
      </c>
      <c r="C12" s="169"/>
      <c r="D12" s="169"/>
      <c r="E12" s="169"/>
      <c r="F12" s="169"/>
      <c r="G12" s="169"/>
      <c r="H12" s="169"/>
      <c r="I12" s="169"/>
      <c r="J12" s="169"/>
      <c r="K12" s="169"/>
      <c r="L12" s="169"/>
      <c r="M12" s="169"/>
      <c r="N12" s="169"/>
      <c r="O12" s="169"/>
      <c r="P12" s="169"/>
      <c r="Q12" s="169"/>
      <c r="R12" s="169"/>
      <c r="S12" s="169"/>
      <c r="T12" s="169"/>
    </row>
    <row r="13" spans="1:20" x14ac:dyDescent="0.25">
      <c r="B13" s="136"/>
      <c r="C13" s="136"/>
      <c r="D13" s="136"/>
      <c r="E13" s="136"/>
      <c r="F13" s="136"/>
      <c r="G13" s="136"/>
      <c r="H13" s="136"/>
      <c r="I13" s="136"/>
      <c r="J13" s="136"/>
      <c r="K13" s="136"/>
      <c r="L13" s="136"/>
      <c r="M13" s="136"/>
      <c r="N13" s="136"/>
      <c r="Q13" s="137"/>
    </row>
    <row r="14" spans="1:20" x14ac:dyDescent="0.25">
      <c r="B14" s="237" t="s">
        <v>155</v>
      </c>
      <c r="C14" s="237"/>
      <c r="D14" s="237"/>
      <c r="E14" s="237"/>
      <c r="F14" s="237"/>
      <c r="G14" s="237"/>
      <c r="H14" s="237"/>
      <c r="I14" s="237"/>
      <c r="J14" s="237"/>
      <c r="K14" s="237"/>
      <c r="L14" s="237"/>
      <c r="M14" s="237"/>
      <c r="N14" s="237"/>
      <c r="O14" s="237"/>
      <c r="P14" s="237"/>
      <c r="Q14" s="237"/>
      <c r="R14" s="237"/>
      <c r="S14" s="237"/>
      <c r="T14" s="237"/>
    </row>
    <row r="15" spans="1:20" x14ac:dyDescent="0.25">
      <c r="B15" s="238" t="s">
        <v>156</v>
      </c>
      <c r="C15" s="238"/>
      <c r="D15" s="238"/>
      <c r="E15" s="238"/>
      <c r="F15" s="238"/>
      <c r="G15" s="238"/>
      <c r="H15" s="238"/>
      <c r="I15" s="238"/>
      <c r="J15" s="238"/>
      <c r="K15" s="238"/>
      <c r="L15" s="238"/>
      <c r="M15" s="238"/>
      <c r="N15" s="238"/>
      <c r="O15" s="238"/>
      <c r="P15" s="238"/>
      <c r="Q15" s="238"/>
      <c r="R15" s="238"/>
      <c r="S15" s="238"/>
      <c r="T15" s="238"/>
    </row>
    <row r="16" spans="1:20" x14ac:dyDescent="0.25">
      <c r="B16" s="238" t="s">
        <v>157</v>
      </c>
      <c r="C16" s="238"/>
      <c r="D16" s="238"/>
      <c r="E16" s="238"/>
      <c r="F16" s="238"/>
      <c r="G16" s="238"/>
      <c r="H16" s="238"/>
      <c r="I16" s="238"/>
      <c r="J16" s="238"/>
      <c r="K16" s="238"/>
      <c r="L16" s="238"/>
      <c r="M16" s="238"/>
      <c r="N16" s="238"/>
      <c r="O16" s="238"/>
      <c r="P16" s="238"/>
      <c r="Q16" s="238"/>
      <c r="R16" s="238"/>
      <c r="S16" s="238"/>
      <c r="T16" s="238"/>
    </row>
    <row r="17" spans="2:20" x14ac:dyDescent="0.25">
      <c r="B17" s="238" t="s">
        <v>158</v>
      </c>
      <c r="C17" s="238"/>
      <c r="D17" s="238"/>
      <c r="E17" s="238"/>
      <c r="F17" s="238"/>
      <c r="G17" s="238"/>
      <c r="H17" s="238"/>
      <c r="I17" s="238"/>
      <c r="J17" s="238"/>
      <c r="K17" s="238"/>
      <c r="L17" s="238"/>
      <c r="M17" s="238"/>
      <c r="N17" s="238"/>
      <c r="O17" s="238"/>
      <c r="P17" s="238"/>
      <c r="Q17" s="238"/>
      <c r="R17" s="238"/>
      <c r="S17" s="238"/>
      <c r="T17" s="238"/>
    </row>
    <row r="18" spans="2:20" x14ac:dyDescent="0.25">
      <c r="B18" s="238" t="s">
        <v>159</v>
      </c>
      <c r="C18" s="238"/>
      <c r="D18" s="238"/>
      <c r="E18" s="238"/>
      <c r="F18" s="238"/>
      <c r="G18" s="238"/>
      <c r="H18" s="238"/>
      <c r="I18" s="238"/>
      <c r="J18" s="238"/>
      <c r="K18" s="238"/>
      <c r="L18" s="238"/>
      <c r="M18" s="238"/>
      <c r="N18" s="238"/>
      <c r="O18" s="238"/>
      <c r="P18" s="238"/>
      <c r="Q18" s="238"/>
      <c r="R18" s="238"/>
      <c r="S18" s="238"/>
      <c r="T18" s="238"/>
    </row>
    <row r="19" spans="2:20" x14ac:dyDescent="0.25">
      <c r="F19" s="115"/>
      <c r="G19" s="115"/>
      <c r="H19" s="115"/>
      <c r="I19" s="115"/>
    </row>
    <row r="20" spans="2:20" x14ac:dyDescent="0.25">
      <c r="F20" s="115"/>
      <c r="G20" s="115"/>
      <c r="H20" s="115"/>
      <c r="I20" s="115"/>
    </row>
    <row r="21" spans="2:20" x14ac:dyDescent="0.25">
      <c r="F21" s="115"/>
      <c r="G21" s="115"/>
      <c r="H21" s="115"/>
      <c r="I21" s="115"/>
    </row>
    <row r="22" spans="2:20" x14ac:dyDescent="0.25">
      <c r="F22" s="115"/>
      <c r="G22" s="115"/>
      <c r="H22" s="115"/>
      <c r="I22" s="115"/>
    </row>
    <row r="23" spans="2:20" x14ac:dyDescent="0.25">
      <c r="F23" s="115"/>
      <c r="G23" s="115"/>
      <c r="H23" s="115"/>
      <c r="I23" s="115"/>
    </row>
    <row r="24" spans="2:20" x14ac:dyDescent="0.25">
      <c r="F24" s="115"/>
      <c r="G24" s="115"/>
      <c r="H24" s="115"/>
      <c r="I24" s="115"/>
    </row>
    <row r="25" spans="2:20" x14ac:dyDescent="0.25">
      <c r="F25" s="115"/>
      <c r="G25" s="115"/>
      <c r="H25" s="115"/>
      <c r="I25" s="115"/>
    </row>
    <row r="26" spans="2:20" x14ac:dyDescent="0.25">
      <c r="F26" s="115"/>
      <c r="G26" s="115"/>
      <c r="H26" s="115"/>
      <c r="I26" s="115"/>
    </row>
    <row r="27" spans="2:20" x14ac:dyDescent="0.25">
      <c r="F27" s="115"/>
      <c r="G27" s="115"/>
      <c r="H27" s="115"/>
      <c r="I27" s="115"/>
    </row>
    <row r="28" spans="2:20" x14ac:dyDescent="0.25">
      <c r="F28" s="115"/>
      <c r="G28" s="115"/>
      <c r="H28" s="115"/>
      <c r="I28" s="115"/>
    </row>
    <row r="29" spans="2:20" x14ac:dyDescent="0.25">
      <c r="F29" s="115"/>
      <c r="G29" s="115"/>
      <c r="H29" s="115"/>
      <c r="I29" s="115"/>
    </row>
    <row r="30" spans="2:20" x14ac:dyDescent="0.25">
      <c r="F30" s="115"/>
      <c r="G30" s="115"/>
      <c r="H30" s="115"/>
      <c r="I30" s="115"/>
    </row>
  </sheetData>
  <mergeCells count="16">
    <mergeCell ref="B14:T14"/>
    <mergeCell ref="B15:T15"/>
    <mergeCell ref="B16:T16"/>
    <mergeCell ref="B17:T17"/>
    <mergeCell ref="B18:T18"/>
    <mergeCell ref="B3:F3"/>
    <mergeCell ref="A1:T1"/>
    <mergeCell ref="B4:B6"/>
    <mergeCell ref="D4:D6"/>
    <mergeCell ref="E4:E6"/>
    <mergeCell ref="C4:C6"/>
    <mergeCell ref="B8:T8"/>
    <mergeCell ref="B9:T9"/>
    <mergeCell ref="B10:T10"/>
    <mergeCell ref="B11:T11"/>
    <mergeCell ref="B12:T12"/>
  </mergeCell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09E54B-20C4-43D8-B08C-133E8FCA84CA}">
  <dimension ref="A1:U33"/>
  <sheetViews>
    <sheetView topLeftCell="A4" workbookViewId="0">
      <selection activeCell="H12" sqref="H12"/>
    </sheetView>
  </sheetViews>
  <sheetFormatPr baseColWidth="10" defaultRowHeight="15" x14ac:dyDescent="0.25"/>
  <cols>
    <col min="1" max="1" width="21.7109375" bestFit="1" customWidth="1"/>
    <col min="2" max="5" width="11.7109375" bestFit="1" customWidth="1"/>
  </cols>
  <sheetData>
    <row r="1" spans="1:21" ht="60.75" thickBot="1" x14ac:dyDescent="0.3">
      <c r="A1" s="144"/>
      <c r="B1" s="145" t="s">
        <v>96</v>
      </c>
      <c r="C1" s="146" t="s">
        <v>97</v>
      </c>
      <c r="D1" s="145" t="s">
        <v>98</v>
      </c>
      <c r="E1" s="145" t="s">
        <v>99</v>
      </c>
      <c r="F1" s="13" t="s">
        <v>100</v>
      </c>
      <c r="H1" s="159" t="s">
        <v>112</v>
      </c>
      <c r="I1" s="159" t="s">
        <v>114</v>
      </c>
      <c r="J1" s="159" t="s">
        <v>113</v>
      </c>
      <c r="O1" t="s">
        <v>119</v>
      </c>
      <c r="P1" t="s">
        <v>120</v>
      </c>
      <c r="Q1" t="s">
        <v>121</v>
      </c>
      <c r="R1" t="s">
        <v>122</v>
      </c>
      <c r="S1" t="s">
        <v>123</v>
      </c>
    </row>
    <row r="2" spans="1:21" x14ac:dyDescent="0.25">
      <c r="A2" s="147" t="s">
        <v>101</v>
      </c>
      <c r="B2" s="148">
        <f>146480+15487+45000+25000+50000</f>
        <v>281967</v>
      </c>
      <c r="C2" s="148">
        <v>175000</v>
      </c>
      <c r="D2" s="148">
        <f>(95000*0.4)+3304</f>
        <v>41304</v>
      </c>
      <c r="E2" s="148">
        <f>B2-C2-D2</f>
        <v>65663</v>
      </c>
      <c r="F2" s="149">
        <f t="shared" ref="F2:F5" si="0">E2/B2</f>
        <v>0.23287476903325566</v>
      </c>
      <c r="N2" t="s">
        <v>115</v>
      </c>
      <c r="O2" s="163">
        <v>1475</v>
      </c>
      <c r="P2" s="163">
        <v>1140</v>
      </c>
      <c r="Q2" s="163">
        <v>1667</v>
      </c>
      <c r="R2" s="163">
        <f>SUM(O2:Q2)</f>
        <v>4282</v>
      </c>
      <c r="S2" s="176">
        <f>R2+R3</f>
        <v>5155</v>
      </c>
      <c r="T2" s="176">
        <f>S2*3</f>
        <v>15465</v>
      </c>
    </row>
    <row r="3" spans="1:21" x14ac:dyDescent="0.25">
      <c r="A3" s="147" t="s">
        <v>102</v>
      </c>
      <c r="B3" s="148">
        <f>196200+23230+15500+25000+10000</f>
        <v>269930</v>
      </c>
      <c r="C3" s="148">
        <v>100000</v>
      </c>
      <c r="D3" s="148">
        <f>(95000*0.6)+4956</f>
        <v>61956</v>
      </c>
      <c r="E3" s="148">
        <f>B3-C3-D3</f>
        <v>107974</v>
      </c>
      <c r="F3" s="149">
        <f t="shared" si="0"/>
        <v>0.40000740932834439</v>
      </c>
      <c r="H3">
        <v>200</v>
      </c>
      <c r="I3">
        <v>34</v>
      </c>
      <c r="J3" s="160">
        <f>(B3-E24)/(H3*I3)</f>
        <v>35.432047058823528</v>
      </c>
      <c r="N3" t="s">
        <v>116</v>
      </c>
      <c r="O3" s="163">
        <v>332</v>
      </c>
      <c r="P3" s="163">
        <v>186</v>
      </c>
      <c r="Q3" s="163">
        <v>355</v>
      </c>
      <c r="R3" s="163">
        <f t="shared" ref="R3:R5" si="1">SUM(O3:Q3)</f>
        <v>873</v>
      </c>
      <c r="S3" s="176"/>
      <c r="T3" s="176"/>
      <c r="U3">
        <v>36.799999999999997</v>
      </c>
    </row>
    <row r="4" spans="1:21" x14ac:dyDescent="0.25">
      <c r="A4" s="147" t="s">
        <v>1</v>
      </c>
      <c r="B4" s="150">
        <f>824000+63170+50000+33500</f>
        <v>970670</v>
      </c>
      <c r="C4" s="150">
        <v>275000</v>
      </c>
      <c r="D4" s="150">
        <f>155000+13476</f>
        <v>168476</v>
      </c>
      <c r="E4" s="150">
        <f t="shared" ref="E4:E12" si="2">B4-C4-D4</f>
        <v>527194</v>
      </c>
      <c r="F4" s="151">
        <f t="shared" si="0"/>
        <v>0.54312382169017281</v>
      </c>
      <c r="H4">
        <v>20875</v>
      </c>
      <c r="I4">
        <v>1</v>
      </c>
      <c r="J4" s="160">
        <f>(B4-D24)/(H4*I4)</f>
        <v>43.920651497005984</v>
      </c>
      <c r="K4" s="160">
        <f>J4*5</f>
        <v>219.60325748502993</v>
      </c>
      <c r="N4" t="s">
        <v>117</v>
      </c>
      <c r="O4" s="163">
        <v>2424</v>
      </c>
      <c r="P4" s="163">
        <v>1886</v>
      </c>
      <c r="Q4" s="163">
        <v>2901</v>
      </c>
      <c r="R4" s="163">
        <f t="shared" si="1"/>
        <v>7211</v>
      </c>
      <c r="S4" s="176">
        <f>R4+R5</f>
        <v>8851</v>
      </c>
      <c r="T4" s="176">
        <f>S4*3</f>
        <v>26553</v>
      </c>
    </row>
    <row r="5" spans="1:21" x14ac:dyDescent="0.25">
      <c r="A5" s="147" t="s">
        <v>103</v>
      </c>
      <c r="B5" s="148">
        <f>40100+6113+3500+3000+2000</f>
        <v>54713</v>
      </c>
      <c r="C5" s="148">
        <v>10000</v>
      </c>
      <c r="D5" s="148">
        <f>15000+1304</f>
        <v>16304</v>
      </c>
      <c r="E5" s="148">
        <f t="shared" si="2"/>
        <v>28409</v>
      </c>
      <c r="F5" s="149">
        <f t="shared" si="0"/>
        <v>0.51923674446658019</v>
      </c>
      <c r="H5">
        <v>20</v>
      </c>
      <c r="I5">
        <v>65</v>
      </c>
      <c r="J5" s="160">
        <f>B5/(H5*I5)</f>
        <v>42.086923076923078</v>
      </c>
      <c r="N5" t="s">
        <v>118</v>
      </c>
      <c r="O5" s="163">
        <v>543</v>
      </c>
      <c r="P5" s="163">
        <v>417</v>
      </c>
      <c r="Q5" s="163">
        <v>680</v>
      </c>
      <c r="R5" s="163">
        <f t="shared" si="1"/>
        <v>1640</v>
      </c>
      <c r="S5" s="176"/>
      <c r="T5" s="176"/>
      <c r="U5">
        <v>63.2</v>
      </c>
    </row>
    <row r="6" spans="1:21" x14ac:dyDescent="0.25">
      <c r="A6" s="152" t="s">
        <v>104</v>
      </c>
      <c r="B6" s="153">
        <f>SUM(B2:B5)</f>
        <v>1577280</v>
      </c>
      <c r="C6" s="153">
        <f>SUM(C2:C5)</f>
        <v>560000</v>
      </c>
      <c r="D6" s="153">
        <f>SUM(D2:D5)</f>
        <v>288040</v>
      </c>
      <c r="E6" s="153">
        <f>SUM(E2:E5)</f>
        <v>729240</v>
      </c>
      <c r="F6" s="154">
        <f>E6/B6</f>
        <v>0.46234023128423618</v>
      </c>
      <c r="G6" s="161"/>
      <c r="H6" s="161"/>
      <c r="I6" s="161"/>
      <c r="J6" s="162"/>
      <c r="O6" s="163"/>
      <c r="P6" s="163"/>
      <c r="Q6" s="163"/>
      <c r="R6" s="163"/>
    </row>
    <row r="7" spans="1:21" x14ac:dyDescent="0.25">
      <c r="A7" s="147" t="s">
        <v>82</v>
      </c>
      <c r="B7" s="148">
        <v>24500</v>
      </c>
      <c r="C7" s="150">
        <v>18000</v>
      </c>
      <c r="D7" s="150">
        <v>0</v>
      </c>
      <c r="E7" s="150">
        <f t="shared" si="2"/>
        <v>6500</v>
      </c>
      <c r="F7" s="151">
        <f t="shared" ref="F7:F13" si="3">E7/B7</f>
        <v>0.26530612244897961</v>
      </c>
      <c r="J7" s="160"/>
      <c r="O7" s="163"/>
      <c r="P7" s="163"/>
      <c r="Q7" s="163"/>
      <c r="R7" s="163"/>
      <c r="S7">
        <f>SUM(S2:S5)</f>
        <v>14006</v>
      </c>
    </row>
    <row r="8" spans="1:21" x14ac:dyDescent="0.25">
      <c r="A8" s="147" t="s">
        <v>105</v>
      </c>
      <c r="B8" s="150">
        <f>177200+4500</f>
        <v>181700</v>
      </c>
      <c r="C8" s="150">
        <v>125000</v>
      </c>
      <c r="D8" s="150">
        <v>0</v>
      </c>
      <c r="E8" s="150">
        <f t="shared" si="2"/>
        <v>56700</v>
      </c>
      <c r="F8" s="151">
        <f t="shared" si="3"/>
        <v>0.3120528343423225</v>
      </c>
      <c r="H8">
        <v>200</v>
      </c>
      <c r="I8">
        <v>1</v>
      </c>
      <c r="J8" s="160">
        <f t="shared" ref="J8" si="4">B8/(H8*I8)</f>
        <v>908.5</v>
      </c>
      <c r="O8" s="163"/>
      <c r="P8" s="163"/>
      <c r="Q8" s="163"/>
      <c r="R8" s="163" t="s">
        <v>124</v>
      </c>
      <c r="S8">
        <f>S7*3</f>
        <v>42018</v>
      </c>
    </row>
    <row r="9" spans="1:21" x14ac:dyDescent="0.25">
      <c r="A9" s="147" t="s">
        <v>106</v>
      </c>
      <c r="B9" s="148">
        <f>1352480+610000+84000</f>
        <v>2046480</v>
      </c>
      <c r="C9" s="150">
        <v>820000</v>
      </c>
      <c r="D9" s="150">
        <v>0</v>
      </c>
      <c r="E9" s="150">
        <f t="shared" si="2"/>
        <v>1226480</v>
      </c>
      <c r="F9" s="151">
        <f t="shared" si="3"/>
        <v>0.59931198936710839</v>
      </c>
      <c r="O9" s="163"/>
      <c r="P9" s="163"/>
      <c r="Q9" s="163"/>
      <c r="R9" s="163"/>
    </row>
    <row r="10" spans="1:21" x14ac:dyDescent="0.25">
      <c r="A10" s="152" t="s">
        <v>107</v>
      </c>
      <c r="B10" s="153">
        <f>SUM(B7:B9)</f>
        <v>2252680</v>
      </c>
      <c r="C10" s="153">
        <f t="shared" ref="C10:E10" si="5">SUM(C7:C9)</f>
        <v>963000</v>
      </c>
      <c r="D10" s="153">
        <f t="shared" si="5"/>
        <v>0</v>
      </c>
      <c r="E10" s="153">
        <f t="shared" si="5"/>
        <v>1289680</v>
      </c>
      <c r="F10" s="154">
        <f t="shared" si="3"/>
        <v>0.57250918905481474</v>
      </c>
      <c r="G10" s="161"/>
      <c r="H10" s="161"/>
      <c r="I10" s="161"/>
      <c r="J10" s="161"/>
      <c r="O10" s="163"/>
      <c r="P10" s="163"/>
      <c r="Q10" s="163"/>
      <c r="R10" s="163"/>
      <c r="S10">
        <v>42018</v>
      </c>
      <c r="T10">
        <v>100</v>
      </c>
    </row>
    <row r="11" spans="1:21" x14ac:dyDescent="0.25">
      <c r="A11" s="147" t="s">
        <v>108</v>
      </c>
      <c r="B11" s="150">
        <f>16000+6910</f>
        <v>22910</v>
      </c>
      <c r="C11" s="150">
        <v>0</v>
      </c>
      <c r="D11" s="150">
        <v>21520</v>
      </c>
      <c r="E11" s="150">
        <f t="shared" si="2"/>
        <v>1390</v>
      </c>
      <c r="F11" s="151">
        <f t="shared" si="3"/>
        <v>6.0672195547795724E-2</v>
      </c>
      <c r="O11" s="163"/>
      <c r="P11" s="163"/>
      <c r="Q11" s="163"/>
      <c r="R11" s="163"/>
      <c r="S11">
        <v>26553</v>
      </c>
      <c r="T11">
        <f>S11*T10/S10</f>
        <v>63.194345280594028</v>
      </c>
    </row>
    <row r="12" spans="1:21" x14ac:dyDescent="0.25">
      <c r="A12" s="147" t="s">
        <v>109</v>
      </c>
      <c r="B12" s="150">
        <f>1905000+65000</f>
        <v>1970000</v>
      </c>
      <c r="C12" s="150">
        <v>350000</v>
      </c>
      <c r="D12" s="155">
        <v>726040</v>
      </c>
      <c r="E12" s="150">
        <f t="shared" si="2"/>
        <v>893960</v>
      </c>
      <c r="F12" s="151">
        <f t="shared" si="3"/>
        <v>0.45378680203045685</v>
      </c>
    </row>
    <row r="13" spans="1:21" ht="15.75" thickBot="1" x14ac:dyDescent="0.3">
      <c r="A13" s="152" t="s">
        <v>110</v>
      </c>
      <c r="B13" s="153">
        <f>SUM(B11:B12)</f>
        <v>1992910</v>
      </c>
      <c r="C13" s="153">
        <f>SUM(C11:C12)</f>
        <v>350000</v>
      </c>
      <c r="D13" s="153">
        <f>SUM(D11:D12)</f>
        <v>747560</v>
      </c>
      <c r="E13" s="153">
        <f>SUM(E11:E12)</f>
        <v>895350</v>
      </c>
      <c r="F13" s="154">
        <f t="shared" si="3"/>
        <v>0.4492676538328374</v>
      </c>
    </row>
    <row r="14" spans="1:21" ht="15.75" thickBot="1" x14ac:dyDescent="0.3">
      <c r="A14" s="156" t="s">
        <v>111</v>
      </c>
      <c r="B14" s="157">
        <f>B6+B10+B13</f>
        <v>5822870</v>
      </c>
      <c r="C14" s="157">
        <f>C6+C10+C13</f>
        <v>1873000</v>
      </c>
      <c r="D14" s="157">
        <f>D6+D10+D13</f>
        <v>1035600</v>
      </c>
      <c r="E14" s="157">
        <f>E6+E10+E13</f>
        <v>2914270</v>
      </c>
      <c r="F14" s="158">
        <f>E14/B14</f>
        <v>0.50048687331161434</v>
      </c>
      <c r="N14" s="160">
        <f>B2</f>
        <v>281967</v>
      </c>
      <c r="O14" s="160">
        <f>N14*U3%</f>
        <v>103763.856</v>
      </c>
      <c r="P14" s="164">
        <f>O14/T2</f>
        <v>6.7095930164888458</v>
      </c>
    </row>
    <row r="15" spans="1:21" x14ac:dyDescent="0.25">
      <c r="O15" s="160">
        <f>N14*U5%</f>
        <v>178203.144</v>
      </c>
      <c r="P15" s="164">
        <f>O15/T4</f>
        <v>6.7112244944074115</v>
      </c>
    </row>
    <row r="19" spans="1:21" x14ac:dyDescent="0.25">
      <c r="A19" t="s">
        <v>129</v>
      </c>
      <c r="H19" t="s">
        <v>135</v>
      </c>
      <c r="J19" t="s">
        <v>125</v>
      </c>
      <c r="M19" t="s">
        <v>136</v>
      </c>
      <c r="N19" t="s">
        <v>143</v>
      </c>
      <c r="O19" t="s">
        <v>144</v>
      </c>
      <c r="S19" t="s">
        <v>130</v>
      </c>
    </row>
    <row r="20" spans="1:21" x14ac:dyDescent="0.25">
      <c r="A20" t="s">
        <v>146</v>
      </c>
      <c r="B20">
        <v>2.38</v>
      </c>
      <c r="G20" t="s">
        <v>133</v>
      </c>
      <c r="H20">
        <v>2.65</v>
      </c>
      <c r="J20" t="s">
        <v>146</v>
      </c>
      <c r="K20">
        <f>3.46</f>
        <v>3.46</v>
      </c>
      <c r="M20" t="s">
        <v>146</v>
      </c>
      <c r="N20">
        <v>15.05</v>
      </c>
      <c r="O20">
        <v>15.05</v>
      </c>
      <c r="P20">
        <v>26.21</v>
      </c>
      <c r="Q20" t="s">
        <v>137</v>
      </c>
      <c r="S20" t="s">
        <v>146</v>
      </c>
      <c r="T20">
        <v>26.31</v>
      </c>
      <c r="U20" t="s">
        <v>138</v>
      </c>
    </row>
    <row r="21" spans="1:21" x14ac:dyDescent="0.25">
      <c r="A21" t="s">
        <v>127</v>
      </c>
      <c r="B21">
        <v>0.5</v>
      </c>
      <c r="D21" t="s">
        <v>130</v>
      </c>
      <c r="E21" t="s">
        <v>131</v>
      </c>
      <c r="G21" t="s">
        <v>134</v>
      </c>
      <c r="H21">
        <v>2.79</v>
      </c>
      <c r="J21" t="s">
        <v>127</v>
      </c>
      <c r="K21">
        <v>0.5</v>
      </c>
      <c r="M21" t="s">
        <v>127</v>
      </c>
      <c r="N21">
        <v>0.5</v>
      </c>
      <c r="O21">
        <v>0.5</v>
      </c>
      <c r="P21">
        <v>0.5</v>
      </c>
      <c r="S21" t="s">
        <v>139</v>
      </c>
      <c r="T21">
        <f>12-2.13-2.13</f>
        <v>7.7400000000000011</v>
      </c>
    </row>
    <row r="22" spans="1:21" x14ac:dyDescent="0.25">
      <c r="A22" t="s">
        <v>128</v>
      </c>
      <c r="B22">
        <v>1</v>
      </c>
      <c r="D22">
        <v>11030</v>
      </c>
      <c r="E22">
        <v>5941</v>
      </c>
      <c r="G22" t="s">
        <v>126</v>
      </c>
      <c r="H22">
        <v>2.13</v>
      </c>
      <c r="J22" t="s">
        <v>128</v>
      </c>
      <c r="K22">
        <v>1</v>
      </c>
      <c r="M22" t="s">
        <v>128</v>
      </c>
      <c r="N22">
        <v>5</v>
      </c>
      <c r="O22">
        <v>5</v>
      </c>
      <c r="P22">
        <v>5</v>
      </c>
      <c r="S22" t="s">
        <v>127</v>
      </c>
      <c r="T22">
        <v>0.5</v>
      </c>
    </row>
    <row r="23" spans="1:21" x14ac:dyDescent="0.25">
      <c r="A23" t="s">
        <v>132</v>
      </c>
      <c r="B23">
        <v>1</v>
      </c>
      <c r="J23" t="s">
        <v>132</v>
      </c>
      <c r="K23">
        <v>1</v>
      </c>
      <c r="M23" t="s">
        <v>142</v>
      </c>
      <c r="S23" t="s">
        <v>128</v>
      </c>
      <c r="T23">
        <v>1</v>
      </c>
    </row>
    <row r="24" spans="1:21" x14ac:dyDescent="0.25">
      <c r="B24">
        <f>SUM(B20:B23)</f>
        <v>4.88</v>
      </c>
      <c r="D24">
        <f>D22*B24</f>
        <v>53826.400000000001</v>
      </c>
      <c r="E24">
        <f>E22*B24</f>
        <v>28992.079999999998</v>
      </c>
      <c r="K24">
        <f>SUM(K20:K23)</f>
        <v>5.96</v>
      </c>
      <c r="M24" t="s">
        <v>132</v>
      </c>
      <c r="N24">
        <v>1</v>
      </c>
      <c r="O24">
        <v>1</v>
      </c>
      <c r="P24">
        <v>1</v>
      </c>
      <c r="S24" t="s">
        <v>140</v>
      </c>
    </row>
    <row r="25" spans="1:21" x14ac:dyDescent="0.25">
      <c r="N25">
        <f>SUM(N20:N24)</f>
        <v>21.55</v>
      </c>
      <c r="O25">
        <f>SUM(O20:O24)</f>
        <v>21.55</v>
      </c>
      <c r="P25">
        <f>SUM(P20:P24)</f>
        <v>32.71</v>
      </c>
      <c r="S25" t="s">
        <v>132</v>
      </c>
      <c r="T25">
        <v>1</v>
      </c>
    </row>
    <row r="26" spans="1:21" x14ac:dyDescent="0.25">
      <c r="G26" t="s">
        <v>150</v>
      </c>
      <c r="M26" t="s">
        <v>141</v>
      </c>
      <c r="N26">
        <v>33</v>
      </c>
      <c r="O26">
        <v>33</v>
      </c>
      <c r="P26">
        <v>66</v>
      </c>
      <c r="T26">
        <f>SUM(T20:T25)</f>
        <v>36.549999999999997</v>
      </c>
      <c r="U26">
        <f>T26*5</f>
        <v>182.75</v>
      </c>
    </row>
    <row r="27" spans="1:21" x14ac:dyDescent="0.25">
      <c r="G27" t="s">
        <v>146</v>
      </c>
      <c r="H27">
        <v>26.31</v>
      </c>
      <c r="N27">
        <f>N25*N26</f>
        <v>711.15</v>
      </c>
      <c r="O27">
        <f>O25*O26</f>
        <v>711.15</v>
      </c>
      <c r="P27">
        <f>P25*P26</f>
        <v>2158.86</v>
      </c>
    </row>
    <row r="28" spans="1:21" x14ac:dyDescent="0.25">
      <c r="G28" t="s">
        <v>139</v>
      </c>
      <c r="H28">
        <f>12-2.13-2.13</f>
        <v>7.7400000000000011</v>
      </c>
      <c r="N28">
        <f>N27/4</f>
        <v>177.78749999999999</v>
      </c>
      <c r="O28" s="177">
        <f>(O27+P27)</f>
        <v>2870.01</v>
      </c>
      <c r="P28" s="177"/>
    </row>
    <row r="29" spans="1:21" x14ac:dyDescent="0.25">
      <c r="G29" t="s">
        <v>127</v>
      </c>
      <c r="H29">
        <v>0.5</v>
      </c>
    </row>
    <row r="30" spans="1:21" x14ac:dyDescent="0.25">
      <c r="G30" t="s">
        <v>128</v>
      </c>
      <c r="H30">
        <v>1</v>
      </c>
      <c r="N30">
        <f>N25/4</f>
        <v>5.3875000000000002</v>
      </c>
    </row>
    <row r="31" spans="1:21" x14ac:dyDescent="0.25">
      <c r="G31" t="s">
        <v>140</v>
      </c>
    </row>
    <row r="32" spans="1:21" x14ac:dyDescent="0.25">
      <c r="G32" t="s">
        <v>132</v>
      </c>
      <c r="H32">
        <v>1</v>
      </c>
    </row>
    <row r="33" spans="8:8" x14ac:dyDescent="0.25">
      <c r="H33">
        <f>SUM(H27:H32)</f>
        <v>36.549999999999997</v>
      </c>
    </row>
  </sheetData>
  <mergeCells count="5">
    <mergeCell ref="S2:S3"/>
    <mergeCell ref="S4:S5"/>
    <mergeCell ref="T2:T3"/>
    <mergeCell ref="T4:T5"/>
    <mergeCell ref="O28:P28"/>
  </mergeCells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F32866-5A11-4243-8770-95F0CBEDE93A}">
  <sheetPr>
    <pageSetUpPr fitToPage="1"/>
  </sheetPr>
  <dimension ref="A1:V53"/>
  <sheetViews>
    <sheetView zoomScale="85" zoomScaleNormal="85" workbookViewId="0">
      <selection activeCell="Q42" sqref="Q42"/>
    </sheetView>
  </sheetViews>
  <sheetFormatPr baseColWidth="10" defaultColWidth="11.42578125" defaultRowHeight="15" x14ac:dyDescent="0.25"/>
  <cols>
    <col min="1" max="1" width="20.28515625" style="6" bestFit="1" customWidth="1"/>
    <col min="2" max="2" width="17" style="6" bestFit="1" customWidth="1"/>
    <col min="3" max="3" width="18.42578125" style="6" bestFit="1" customWidth="1"/>
    <col min="4" max="4" width="14.42578125" style="6" bestFit="1" customWidth="1"/>
    <col min="5" max="5" width="12.42578125" style="6" bestFit="1" customWidth="1"/>
    <col min="6" max="7" width="17" style="6" bestFit="1" customWidth="1"/>
    <col min="8" max="8" width="13" style="6" bestFit="1" customWidth="1"/>
    <col min="9" max="9" width="11.5703125" style="6" bestFit="1" customWidth="1"/>
    <col min="10" max="10" width="14.85546875" style="6" bestFit="1" customWidth="1"/>
    <col min="11" max="11" width="16.7109375" style="6" bestFit="1" customWidth="1"/>
    <col min="12" max="12" width="10.42578125" style="6" bestFit="1" customWidth="1"/>
    <col min="13" max="13" width="12.42578125" style="6" customWidth="1"/>
    <col min="14" max="14" width="12.7109375" style="6" bestFit="1" customWidth="1"/>
    <col min="15" max="15" width="17" style="6" bestFit="1" customWidth="1"/>
    <col min="16" max="16" width="12.7109375" style="6" customWidth="1"/>
    <col min="17" max="17" width="12.28515625" style="6" bestFit="1" customWidth="1"/>
    <col min="18" max="18" width="11" style="6" bestFit="1" customWidth="1"/>
    <col min="19" max="19" width="11.7109375" style="6" bestFit="1" customWidth="1"/>
    <col min="20" max="20" width="12.42578125" style="6" bestFit="1" customWidth="1"/>
    <col min="21" max="21" width="11" style="6" bestFit="1" customWidth="1"/>
    <col min="22" max="22" width="10.42578125" style="6" bestFit="1" customWidth="1"/>
    <col min="23" max="16384" width="11.42578125" style="6"/>
  </cols>
  <sheetData>
    <row r="1" spans="1:15" ht="15.75" thickBot="1" x14ac:dyDescent="0.3">
      <c r="D1" s="213" t="s">
        <v>79</v>
      </c>
      <c r="E1" s="214"/>
      <c r="F1" s="214"/>
      <c r="G1" s="214"/>
      <c r="H1" s="215"/>
      <c r="J1" s="216" t="s">
        <v>8</v>
      </c>
      <c r="K1" s="217"/>
      <c r="L1" s="217"/>
    </row>
    <row r="2" spans="1:15" ht="30.75" thickBot="1" x14ac:dyDescent="0.3">
      <c r="A2" s="218" t="s">
        <v>8</v>
      </c>
      <c r="B2" s="219"/>
      <c r="C2" s="99" t="s">
        <v>78</v>
      </c>
      <c r="D2" s="97" t="s">
        <v>77</v>
      </c>
      <c r="E2" s="113" t="s">
        <v>86</v>
      </c>
      <c r="F2" s="113" t="s">
        <v>87</v>
      </c>
      <c r="G2" s="98"/>
      <c r="H2" s="97"/>
      <c r="J2" s="96" t="s">
        <v>76</v>
      </c>
      <c r="K2" s="95" t="s">
        <v>0</v>
      </c>
      <c r="L2" s="95" t="s">
        <v>75</v>
      </c>
      <c r="N2" s="94" t="s">
        <v>74</v>
      </c>
      <c r="O2" s="93" t="s">
        <v>73</v>
      </c>
    </row>
    <row r="3" spans="1:15" ht="15.75" customHeight="1" thickBot="1" x14ac:dyDescent="0.3">
      <c r="A3" s="220" t="s">
        <v>72</v>
      </c>
      <c r="B3" s="221"/>
      <c r="C3" s="34">
        <v>1</v>
      </c>
      <c r="D3" s="110">
        <v>6.1899999999999998E-4</v>
      </c>
      <c r="E3" s="114">
        <f>$K$3*D3</f>
        <v>0.49581899999999995</v>
      </c>
      <c r="F3" s="114">
        <f>$L$3*D3</f>
        <v>4.3330000000000002</v>
      </c>
      <c r="G3" s="104"/>
      <c r="H3" s="105"/>
      <c r="J3" s="88">
        <v>44927</v>
      </c>
      <c r="K3" s="87">
        <v>801</v>
      </c>
      <c r="L3" s="87">
        <v>7000</v>
      </c>
      <c r="N3" s="92" t="s">
        <v>2</v>
      </c>
      <c r="O3" s="91">
        <v>6.2</v>
      </c>
    </row>
    <row r="4" spans="1:15" ht="15.75" thickBot="1" x14ac:dyDescent="0.3">
      <c r="A4" s="222"/>
      <c r="B4" s="223"/>
      <c r="C4" s="3">
        <v>2</v>
      </c>
      <c r="D4" s="111">
        <v>5.1599999999999997E-4</v>
      </c>
      <c r="E4" s="114">
        <f t="shared" ref="E4:E12" si="0">$K$3*D4</f>
        <v>0.41331599999999996</v>
      </c>
      <c r="F4" s="114">
        <f t="shared" ref="F4:F12" si="1">$L$3*D4</f>
        <v>3.6119999999999997</v>
      </c>
      <c r="G4" s="106"/>
      <c r="H4" s="107"/>
      <c r="J4" s="88">
        <v>45292</v>
      </c>
      <c r="K4" s="210" t="s">
        <v>71</v>
      </c>
      <c r="L4" s="87"/>
      <c r="N4" s="90" t="s">
        <v>70</v>
      </c>
      <c r="O4" s="89">
        <v>8.1999999999999993</v>
      </c>
    </row>
    <row r="5" spans="1:15" ht="15.75" thickBot="1" x14ac:dyDescent="0.3">
      <c r="A5" s="222"/>
      <c r="B5" s="223"/>
      <c r="C5" s="3">
        <v>3</v>
      </c>
      <c r="D5" s="111">
        <v>4.1300000000000001E-4</v>
      </c>
      <c r="E5" s="114">
        <f t="shared" si="0"/>
        <v>0.33081300000000002</v>
      </c>
      <c r="F5" s="114">
        <f t="shared" si="1"/>
        <v>2.891</v>
      </c>
      <c r="G5" s="106"/>
      <c r="H5" s="107"/>
      <c r="J5" s="88"/>
      <c r="K5" s="211"/>
      <c r="L5" s="87"/>
    </row>
    <row r="6" spans="1:15" ht="15.75" thickBot="1" x14ac:dyDescent="0.3">
      <c r="A6" s="222"/>
      <c r="B6" s="223"/>
      <c r="C6" s="3">
        <v>4</v>
      </c>
      <c r="D6" s="111">
        <v>3.1E-4</v>
      </c>
      <c r="E6" s="114">
        <f t="shared" si="0"/>
        <v>0.24831</v>
      </c>
      <c r="F6" s="114">
        <f t="shared" si="1"/>
        <v>2.17</v>
      </c>
      <c r="G6" s="106"/>
      <c r="H6" s="107"/>
      <c r="J6" s="88"/>
      <c r="K6" s="211"/>
      <c r="L6" s="87"/>
      <c r="N6" s="1"/>
    </row>
    <row r="7" spans="1:15" ht="15.75" thickBot="1" x14ac:dyDescent="0.3">
      <c r="A7" s="222"/>
      <c r="B7" s="223"/>
      <c r="C7" s="3">
        <v>5</v>
      </c>
      <c r="D7" s="111">
        <v>3.1E-4</v>
      </c>
      <c r="E7" s="114">
        <f t="shared" si="0"/>
        <v>0.24831</v>
      </c>
      <c r="F7" s="114">
        <f t="shared" si="1"/>
        <v>2.17</v>
      </c>
      <c r="G7" s="106"/>
      <c r="H7" s="107"/>
      <c r="J7" s="88"/>
      <c r="K7" s="211"/>
      <c r="L7" s="87"/>
      <c r="N7" s="1"/>
    </row>
    <row r="8" spans="1:15" ht="15.75" thickBot="1" x14ac:dyDescent="0.3">
      <c r="A8" s="222"/>
      <c r="B8" s="223"/>
      <c r="C8" s="3">
        <v>6</v>
      </c>
      <c r="D8" s="111">
        <v>3.1E-4</v>
      </c>
      <c r="E8" s="114">
        <f t="shared" si="0"/>
        <v>0.24831</v>
      </c>
      <c r="F8" s="114">
        <f t="shared" si="1"/>
        <v>2.17</v>
      </c>
      <c r="G8" s="106"/>
      <c r="H8" s="107"/>
      <c r="J8" s="88"/>
      <c r="K8" s="212"/>
      <c r="L8" s="87"/>
      <c r="N8" s="1"/>
    </row>
    <row r="9" spans="1:15" x14ac:dyDescent="0.25">
      <c r="A9" s="222"/>
      <c r="B9" s="223"/>
      <c r="C9" s="3">
        <v>7</v>
      </c>
      <c r="D9" s="111">
        <v>3.1E-4</v>
      </c>
      <c r="E9" s="114">
        <f t="shared" si="0"/>
        <v>0.24831</v>
      </c>
      <c r="F9" s="114">
        <f t="shared" si="1"/>
        <v>2.17</v>
      </c>
      <c r="G9" s="106"/>
      <c r="H9" s="107"/>
      <c r="N9" s="1"/>
    </row>
    <row r="10" spans="1:15" x14ac:dyDescent="0.25">
      <c r="A10" s="222"/>
      <c r="B10" s="223"/>
      <c r="C10" s="3">
        <v>8</v>
      </c>
      <c r="D10" s="111">
        <v>2.0599999999999999E-4</v>
      </c>
      <c r="E10" s="114">
        <f t="shared" si="0"/>
        <v>0.16500599999999999</v>
      </c>
      <c r="F10" s="114">
        <f t="shared" si="1"/>
        <v>1.4419999999999999</v>
      </c>
      <c r="G10" s="106"/>
      <c r="H10" s="107"/>
      <c r="N10" s="1"/>
    </row>
    <row r="11" spans="1:15" x14ac:dyDescent="0.25">
      <c r="A11" s="222"/>
      <c r="B11" s="223"/>
      <c r="C11" s="3">
        <v>9</v>
      </c>
      <c r="D11" s="111">
        <v>2.0599999999999999E-4</v>
      </c>
      <c r="E11" s="114">
        <f t="shared" si="0"/>
        <v>0.16500599999999999</v>
      </c>
      <c r="F11" s="114">
        <f t="shared" si="1"/>
        <v>1.4419999999999999</v>
      </c>
      <c r="G11" s="106"/>
      <c r="H11" s="107"/>
      <c r="N11" s="1"/>
    </row>
    <row r="12" spans="1:15" ht="15.75" thickBot="1" x14ac:dyDescent="0.3">
      <c r="A12" s="224"/>
      <c r="B12" s="225"/>
      <c r="C12" s="3">
        <v>10</v>
      </c>
      <c r="D12" s="112">
        <v>2.0599999999999999E-4</v>
      </c>
      <c r="E12" s="114">
        <f t="shared" si="0"/>
        <v>0.16500599999999999</v>
      </c>
      <c r="F12" s="114">
        <f t="shared" si="1"/>
        <v>1.4419999999999999</v>
      </c>
      <c r="G12" s="108"/>
      <c r="H12" s="109"/>
      <c r="N12" s="1"/>
    </row>
    <row r="13" spans="1:15" ht="15.75" thickBot="1" x14ac:dyDescent="0.3">
      <c r="E13" s="3"/>
      <c r="F13" s="3"/>
      <c r="N13" s="1"/>
    </row>
    <row r="14" spans="1:15" ht="15.75" thickBot="1" x14ac:dyDescent="0.3">
      <c r="A14" s="187" t="s">
        <v>69</v>
      </c>
      <c r="B14" s="188"/>
      <c r="C14" s="86" t="s">
        <v>68</v>
      </c>
      <c r="E14" s="189" t="s">
        <v>67</v>
      </c>
      <c r="F14" s="190"/>
      <c r="G14" s="191"/>
      <c r="H14" s="188"/>
      <c r="J14" s="192" t="s">
        <v>66</v>
      </c>
      <c r="K14" s="192"/>
      <c r="N14" s="1"/>
    </row>
    <row r="15" spans="1:15" ht="15.75" thickBot="1" x14ac:dyDescent="0.3">
      <c r="A15" s="200" t="s">
        <v>65</v>
      </c>
      <c r="B15" s="34" t="s">
        <v>64</v>
      </c>
      <c r="C15" s="85">
        <v>4.17</v>
      </c>
      <c r="E15" s="84" t="s">
        <v>28</v>
      </c>
      <c r="F15" s="84" t="s">
        <v>27</v>
      </c>
      <c r="G15" s="75" t="s">
        <v>9</v>
      </c>
      <c r="H15" s="75" t="s">
        <v>26</v>
      </c>
      <c r="J15" s="201" t="s">
        <v>63</v>
      </c>
      <c r="K15" s="203">
        <v>2.7</v>
      </c>
      <c r="N15" s="1"/>
    </row>
    <row r="16" spans="1:15" ht="15.75" thickBot="1" x14ac:dyDescent="0.3">
      <c r="A16" s="196"/>
      <c r="B16" s="3" t="s">
        <v>57</v>
      </c>
      <c r="C16" s="70">
        <v>3.53</v>
      </c>
      <c r="E16" s="83">
        <v>1</v>
      </c>
      <c r="F16" s="83" t="s">
        <v>24</v>
      </c>
      <c r="G16" s="82">
        <v>119</v>
      </c>
      <c r="H16" s="81">
        <v>173</v>
      </c>
      <c r="J16" s="202"/>
      <c r="K16" s="204"/>
    </row>
    <row r="17" spans="1:22" x14ac:dyDescent="0.25">
      <c r="A17" s="196" t="s">
        <v>62</v>
      </c>
      <c r="B17" s="3" t="s">
        <v>58</v>
      </c>
      <c r="C17" s="70">
        <v>2.68</v>
      </c>
      <c r="E17" s="79">
        <v>2</v>
      </c>
      <c r="F17" s="78" t="s">
        <v>22</v>
      </c>
      <c r="G17" s="77">
        <v>245</v>
      </c>
      <c r="H17" s="76">
        <v>364</v>
      </c>
    </row>
    <row r="18" spans="1:22" x14ac:dyDescent="0.25">
      <c r="A18" s="196"/>
      <c r="B18" s="3" t="s">
        <v>57</v>
      </c>
      <c r="C18" s="70">
        <v>2.1800000000000002</v>
      </c>
      <c r="E18" s="79">
        <v>3</v>
      </c>
      <c r="F18" s="78" t="s">
        <v>19</v>
      </c>
      <c r="G18" s="77">
        <v>381</v>
      </c>
      <c r="H18" s="76">
        <v>561</v>
      </c>
    </row>
    <row r="19" spans="1:22" x14ac:dyDescent="0.25">
      <c r="A19" s="196" t="s">
        <v>61</v>
      </c>
      <c r="B19" s="3" t="s">
        <v>58</v>
      </c>
      <c r="C19" s="70">
        <v>3.13</v>
      </c>
      <c r="E19" s="79">
        <v>4</v>
      </c>
      <c r="F19" s="78" t="s">
        <v>18</v>
      </c>
      <c r="G19" s="77">
        <v>500</v>
      </c>
      <c r="H19" s="76">
        <v>743</v>
      </c>
      <c r="J19" s="80"/>
      <c r="K19" s="80"/>
    </row>
    <row r="20" spans="1:22" x14ac:dyDescent="0.25">
      <c r="A20" s="196"/>
      <c r="B20" s="3" t="s">
        <v>57</v>
      </c>
      <c r="C20" s="70">
        <v>2.76</v>
      </c>
      <c r="E20" s="79">
        <v>5</v>
      </c>
      <c r="F20" s="78" t="s">
        <v>17</v>
      </c>
      <c r="G20" s="77">
        <v>625</v>
      </c>
      <c r="H20" s="76">
        <v>769</v>
      </c>
    </row>
    <row r="21" spans="1:22" ht="15.75" thickBot="1" x14ac:dyDescent="0.3">
      <c r="A21" s="196" t="s">
        <v>60</v>
      </c>
      <c r="B21" s="3" t="s">
        <v>58</v>
      </c>
      <c r="C21" s="71">
        <v>1.05</v>
      </c>
      <c r="E21" s="75">
        <v>6</v>
      </c>
      <c r="F21" s="74" t="s">
        <v>16</v>
      </c>
      <c r="G21" s="73">
        <v>750</v>
      </c>
      <c r="H21" s="72">
        <v>785</v>
      </c>
    </row>
    <row r="22" spans="1:22" x14ac:dyDescent="0.25">
      <c r="A22" s="196"/>
      <c r="B22" s="3" t="s">
        <v>57</v>
      </c>
      <c r="C22" s="71">
        <v>1.02</v>
      </c>
      <c r="G22" s="197"/>
      <c r="H22" s="197"/>
    </row>
    <row r="23" spans="1:22" x14ac:dyDescent="0.25">
      <c r="A23" s="196" t="s">
        <v>59</v>
      </c>
      <c r="B23" s="3" t="s">
        <v>58</v>
      </c>
      <c r="C23" s="70">
        <v>7.22</v>
      </c>
    </row>
    <row r="24" spans="1:22" x14ac:dyDescent="0.25">
      <c r="A24" s="196"/>
      <c r="B24" s="3" t="s">
        <v>57</v>
      </c>
      <c r="C24" s="70">
        <v>6.15</v>
      </c>
    </row>
    <row r="25" spans="1:22" ht="15.75" thickBot="1" x14ac:dyDescent="0.3">
      <c r="A25" s="69" t="s">
        <v>56</v>
      </c>
      <c r="B25" s="5" t="s">
        <v>55</v>
      </c>
      <c r="C25" s="68">
        <v>6.62</v>
      </c>
    </row>
    <row r="26" spans="1:22" ht="21.75" customHeight="1" thickBot="1" x14ac:dyDescent="0.3">
      <c r="A26" s="9" t="s">
        <v>43</v>
      </c>
      <c r="B26" s="67" t="s">
        <v>21</v>
      </c>
      <c r="C26" s="66" t="s">
        <v>54</v>
      </c>
    </row>
    <row r="27" spans="1:22" ht="15.75" thickBot="1" x14ac:dyDescent="0.3"/>
    <row r="28" spans="1:22" ht="15.75" thickBot="1" x14ac:dyDescent="0.3">
      <c r="A28" s="208" t="s">
        <v>53</v>
      </c>
      <c r="B28" s="209"/>
      <c r="C28" s="205" t="s">
        <v>52</v>
      </c>
      <c r="D28" s="206"/>
      <c r="E28" s="206"/>
      <c r="F28" s="206"/>
      <c r="G28" s="207"/>
      <c r="H28" s="193" t="s">
        <v>51</v>
      </c>
      <c r="I28" s="194"/>
      <c r="J28" s="194"/>
      <c r="K28" s="194"/>
      <c r="L28" s="195"/>
      <c r="M28" s="205" t="s">
        <v>50</v>
      </c>
      <c r="N28" s="206"/>
      <c r="O28" s="206"/>
      <c r="P28" s="206"/>
      <c r="Q28" s="207"/>
      <c r="R28" s="193" t="s">
        <v>49</v>
      </c>
      <c r="S28" s="194"/>
      <c r="T28" s="194"/>
      <c r="U28" s="194"/>
      <c r="V28" s="195"/>
    </row>
    <row r="29" spans="1:22" x14ac:dyDescent="0.25">
      <c r="A29" s="65" t="s">
        <v>28</v>
      </c>
      <c r="B29" s="64" t="s">
        <v>27</v>
      </c>
      <c r="C29" s="62" t="s">
        <v>48</v>
      </c>
      <c r="D29" s="61" t="s">
        <v>47</v>
      </c>
      <c r="E29" s="61" t="s">
        <v>46</v>
      </c>
      <c r="F29" s="61" t="s">
        <v>45</v>
      </c>
      <c r="G29" s="63" t="s">
        <v>44</v>
      </c>
      <c r="H29" s="59" t="s">
        <v>48</v>
      </c>
      <c r="I29" s="58" t="s">
        <v>47</v>
      </c>
      <c r="J29" s="58" t="s">
        <v>46</v>
      </c>
      <c r="K29" s="58" t="s">
        <v>45</v>
      </c>
      <c r="L29" s="57" t="s">
        <v>44</v>
      </c>
      <c r="M29" s="62" t="s">
        <v>48</v>
      </c>
      <c r="N29" s="61" t="s">
        <v>47</v>
      </c>
      <c r="O29" s="61" t="s">
        <v>46</v>
      </c>
      <c r="P29" s="61" t="s">
        <v>45</v>
      </c>
      <c r="Q29" s="60" t="s">
        <v>44</v>
      </c>
      <c r="R29" s="59" t="s">
        <v>48</v>
      </c>
      <c r="S29" s="58" t="s">
        <v>47</v>
      </c>
      <c r="T29" s="58" t="s">
        <v>46</v>
      </c>
      <c r="U29" s="58" t="s">
        <v>45</v>
      </c>
      <c r="V29" s="57" t="s">
        <v>44</v>
      </c>
    </row>
    <row r="30" spans="1:22" x14ac:dyDescent="0.25">
      <c r="A30" s="2" t="s">
        <v>10</v>
      </c>
      <c r="B30" s="3" t="s">
        <v>24</v>
      </c>
      <c r="C30" s="50">
        <v>1.07</v>
      </c>
      <c r="D30" s="55">
        <v>1.07</v>
      </c>
      <c r="E30" s="55">
        <v>2.14</v>
      </c>
      <c r="F30" s="55">
        <v>1.07</v>
      </c>
      <c r="G30" s="54">
        <v>1.07</v>
      </c>
      <c r="H30" s="53">
        <v>0.91</v>
      </c>
      <c r="I30" s="52">
        <v>0.91</v>
      </c>
      <c r="J30" s="52">
        <v>1.83</v>
      </c>
      <c r="K30" s="52">
        <v>0.91</v>
      </c>
      <c r="L30" s="51">
        <v>0.91</v>
      </c>
      <c r="M30" s="50">
        <v>2.98</v>
      </c>
      <c r="N30" s="50">
        <v>2.98</v>
      </c>
      <c r="O30" s="50">
        <v>5.96</v>
      </c>
      <c r="P30" s="50">
        <v>2.98</v>
      </c>
      <c r="Q30" s="49">
        <v>2.98</v>
      </c>
      <c r="R30" s="53">
        <v>2.88</v>
      </c>
      <c r="S30" s="52">
        <v>2.88</v>
      </c>
      <c r="T30" s="52">
        <v>5.75</v>
      </c>
      <c r="U30" s="52">
        <v>2.88</v>
      </c>
      <c r="V30" s="51">
        <v>2.88</v>
      </c>
    </row>
    <row r="31" spans="1:22" x14ac:dyDescent="0.25">
      <c r="A31" s="2" t="s">
        <v>11</v>
      </c>
      <c r="B31" s="3" t="s">
        <v>22</v>
      </c>
      <c r="C31" s="50">
        <v>1.35</v>
      </c>
      <c r="D31" s="55">
        <v>1.35</v>
      </c>
      <c r="E31" s="55">
        <v>2.71</v>
      </c>
      <c r="F31" s="55">
        <v>1.35</v>
      </c>
      <c r="G31" s="54">
        <v>1.35</v>
      </c>
      <c r="H31" s="53">
        <v>1.1200000000000001</v>
      </c>
      <c r="I31" s="52">
        <v>1.1200000000000001</v>
      </c>
      <c r="J31" s="52">
        <v>2.25</v>
      </c>
      <c r="K31" s="52">
        <v>1.1200000000000001</v>
      </c>
      <c r="L31" s="51">
        <v>1.1200000000000001</v>
      </c>
      <c r="M31" s="50">
        <v>3.03</v>
      </c>
      <c r="N31" s="50">
        <v>3.03</v>
      </c>
      <c r="O31" s="50">
        <v>6.07</v>
      </c>
      <c r="P31" s="50">
        <v>3.03</v>
      </c>
      <c r="Q31" s="49">
        <v>3.03</v>
      </c>
      <c r="R31" s="53">
        <v>2.93</v>
      </c>
      <c r="S31" s="52">
        <v>2.93</v>
      </c>
      <c r="T31" s="52">
        <v>5.86</v>
      </c>
      <c r="U31" s="52">
        <v>2.93</v>
      </c>
      <c r="V31" s="51">
        <v>2.93</v>
      </c>
    </row>
    <row r="32" spans="1:22" x14ac:dyDescent="0.25">
      <c r="A32" s="2" t="s">
        <v>12</v>
      </c>
      <c r="B32" s="3" t="s">
        <v>19</v>
      </c>
      <c r="C32" s="50">
        <v>1.58</v>
      </c>
      <c r="D32" s="55">
        <v>1.58</v>
      </c>
      <c r="E32" s="55">
        <v>3.15</v>
      </c>
      <c r="F32" s="55">
        <v>1.58</v>
      </c>
      <c r="G32" s="54">
        <v>1.58</v>
      </c>
      <c r="H32" s="53">
        <v>1.35</v>
      </c>
      <c r="I32" s="52">
        <v>1.35</v>
      </c>
      <c r="J32" s="52">
        <v>2.71</v>
      </c>
      <c r="K32" s="52">
        <v>1.35</v>
      </c>
      <c r="L32" s="51">
        <v>1.35</v>
      </c>
      <c r="M32" s="50">
        <v>3.11</v>
      </c>
      <c r="N32" s="50">
        <v>3.11</v>
      </c>
      <c r="O32" s="50">
        <v>6.22</v>
      </c>
      <c r="P32" s="50">
        <v>3.11</v>
      </c>
      <c r="Q32" s="49">
        <v>3.11</v>
      </c>
      <c r="R32" s="53">
        <v>2.98</v>
      </c>
      <c r="S32" s="52">
        <v>2.98</v>
      </c>
      <c r="T32" s="52">
        <v>5.96</v>
      </c>
      <c r="U32" s="52">
        <v>2.98</v>
      </c>
      <c r="V32" s="51">
        <v>2.98</v>
      </c>
    </row>
    <row r="33" spans="1:22" x14ac:dyDescent="0.25">
      <c r="A33" s="2" t="s">
        <v>13</v>
      </c>
      <c r="B33" s="3" t="s">
        <v>18</v>
      </c>
      <c r="C33" s="50">
        <v>1.75</v>
      </c>
      <c r="D33" s="55">
        <v>1.75</v>
      </c>
      <c r="E33" s="55">
        <v>3.51</v>
      </c>
      <c r="F33" s="55">
        <v>1.75</v>
      </c>
      <c r="G33" s="54">
        <v>1.75</v>
      </c>
      <c r="H33" s="53">
        <v>1.58</v>
      </c>
      <c r="I33" s="52">
        <v>1.58</v>
      </c>
      <c r="J33" s="52">
        <v>3.15</v>
      </c>
      <c r="K33" s="52">
        <v>1.58</v>
      </c>
      <c r="L33" s="51">
        <v>1.58</v>
      </c>
      <c r="M33" s="50">
        <v>3.16</v>
      </c>
      <c r="N33" s="50">
        <v>3.16</v>
      </c>
      <c r="O33" s="50">
        <v>6.32</v>
      </c>
      <c r="P33" s="50">
        <v>3.16</v>
      </c>
      <c r="Q33" s="49">
        <v>3.16</v>
      </c>
      <c r="R33" s="53">
        <v>3.03</v>
      </c>
      <c r="S33" s="52">
        <v>3.03</v>
      </c>
      <c r="T33" s="52">
        <v>6.07</v>
      </c>
      <c r="U33" s="52">
        <v>3.03</v>
      </c>
      <c r="V33" s="51">
        <v>3.03</v>
      </c>
    </row>
    <row r="34" spans="1:22" x14ac:dyDescent="0.25">
      <c r="A34" s="2" t="s">
        <v>14</v>
      </c>
      <c r="B34" s="3" t="s">
        <v>17</v>
      </c>
      <c r="C34" s="50">
        <v>1.91</v>
      </c>
      <c r="D34" s="55">
        <v>1.91</v>
      </c>
      <c r="E34" s="55">
        <v>3.82</v>
      </c>
      <c r="F34" s="55">
        <v>1.91</v>
      </c>
      <c r="G34" s="54">
        <v>1.91</v>
      </c>
      <c r="H34" s="53">
        <v>1.75</v>
      </c>
      <c r="I34" s="52">
        <v>1.75</v>
      </c>
      <c r="J34" s="52">
        <v>3.51</v>
      </c>
      <c r="K34" s="52">
        <v>1.75</v>
      </c>
      <c r="L34" s="51">
        <v>1.75</v>
      </c>
      <c r="M34" s="50">
        <v>3.21</v>
      </c>
      <c r="N34" s="50">
        <v>3.21</v>
      </c>
      <c r="O34" s="50">
        <v>6.43</v>
      </c>
      <c r="P34" s="50">
        <v>3.21</v>
      </c>
      <c r="Q34" s="49">
        <v>3.21</v>
      </c>
      <c r="R34" s="53">
        <v>3.11</v>
      </c>
      <c r="S34" s="52">
        <v>3.11</v>
      </c>
      <c r="T34" s="52">
        <v>6.22</v>
      </c>
      <c r="U34" s="52">
        <v>3.11</v>
      </c>
      <c r="V34" s="51">
        <v>3.11</v>
      </c>
    </row>
    <row r="35" spans="1:22" ht="15.75" thickBot="1" x14ac:dyDescent="0.3">
      <c r="A35" s="56" t="s">
        <v>15</v>
      </c>
      <c r="B35" s="21" t="s">
        <v>16</v>
      </c>
      <c r="C35" s="50">
        <v>2.09</v>
      </c>
      <c r="D35" s="55">
        <v>2.09</v>
      </c>
      <c r="E35" s="55">
        <v>4.18</v>
      </c>
      <c r="F35" s="55">
        <v>2.09</v>
      </c>
      <c r="G35" s="54">
        <v>2.09</v>
      </c>
      <c r="H35" s="53">
        <v>1.91</v>
      </c>
      <c r="I35" s="52">
        <v>1.91</v>
      </c>
      <c r="J35" s="52">
        <v>3.82</v>
      </c>
      <c r="K35" s="52">
        <v>1.91</v>
      </c>
      <c r="L35" s="51">
        <v>1.91</v>
      </c>
      <c r="M35" s="50">
        <v>3.27</v>
      </c>
      <c r="N35" s="50">
        <v>3.27</v>
      </c>
      <c r="O35" s="50">
        <v>6.53</v>
      </c>
      <c r="P35" s="50">
        <v>3.27</v>
      </c>
      <c r="Q35" s="49">
        <v>3.27</v>
      </c>
      <c r="R35" s="48">
        <v>3.16</v>
      </c>
      <c r="S35" s="47">
        <v>3.16</v>
      </c>
      <c r="T35" s="47">
        <v>6.32</v>
      </c>
      <c r="U35" s="47">
        <v>3.16</v>
      </c>
      <c r="V35" s="46">
        <v>3.16</v>
      </c>
    </row>
    <row r="36" spans="1:22" ht="15.75" thickBot="1" x14ac:dyDescent="0.3">
      <c r="A36" s="198" t="s">
        <v>43</v>
      </c>
      <c r="B36" s="199"/>
      <c r="C36" s="178" t="s">
        <v>42</v>
      </c>
      <c r="D36" s="179"/>
      <c r="E36" s="179"/>
      <c r="F36" s="179"/>
      <c r="G36" s="179"/>
      <c r="H36" s="179"/>
      <c r="I36" s="179"/>
      <c r="J36" s="179"/>
      <c r="K36" s="179"/>
      <c r="L36" s="180"/>
      <c r="M36" s="178" t="s">
        <v>42</v>
      </c>
      <c r="N36" s="179"/>
      <c r="O36" s="179"/>
      <c r="P36" s="179"/>
      <c r="Q36" s="179"/>
      <c r="R36" s="179"/>
      <c r="S36" s="179"/>
      <c r="T36" s="179"/>
      <c r="U36" s="179"/>
      <c r="V36" s="180"/>
    </row>
    <row r="37" spans="1:22" ht="15.75" thickBot="1" x14ac:dyDescent="0.3">
      <c r="A37" s="12"/>
      <c r="B37" s="12"/>
      <c r="C37" s="178" t="s">
        <v>41</v>
      </c>
      <c r="D37" s="179"/>
      <c r="E37" s="179"/>
      <c r="F37" s="179"/>
      <c r="G37" s="179"/>
      <c r="H37" s="179"/>
      <c r="I37" s="179"/>
      <c r="J37" s="179"/>
      <c r="K37" s="179"/>
      <c r="L37" s="179"/>
      <c r="M37" s="179"/>
      <c r="N37" s="179"/>
      <c r="O37" s="179"/>
      <c r="P37" s="179"/>
      <c r="Q37" s="179"/>
      <c r="R37" s="179"/>
      <c r="S37" s="179"/>
      <c r="T37" s="179"/>
      <c r="U37" s="179"/>
      <c r="V37" s="180"/>
    </row>
    <row r="38" spans="1:22" ht="15.75" thickBot="1" x14ac:dyDescent="0.3"/>
    <row r="39" spans="1:22" ht="15.75" thickBot="1" x14ac:dyDescent="0.3">
      <c r="C39" s="181" t="s">
        <v>40</v>
      </c>
      <c r="D39" s="182"/>
      <c r="E39" s="183" t="s">
        <v>39</v>
      </c>
      <c r="F39" s="183"/>
      <c r="G39" s="184" t="s">
        <v>38</v>
      </c>
      <c r="H39" s="185"/>
      <c r="I39" s="185"/>
      <c r="J39" s="185"/>
      <c r="K39" s="185"/>
      <c r="L39" s="186"/>
    </row>
    <row r="40" spans="1:22" ht="15.75" thickBot="1" x14ac:dyDescent="0.3">
      <c r="C40" s="45" t="s">
        <v>9</v>
      </c>
      <c r="D40" s="43" t="s">
        <v>26</v>
      </c>
      <c r="E40" s="44" t="s">
        <v>9</v>
      </c>
      <c r="F40" s="43" t="s">
        <v>26</v>
      </c>
      <c r="G40" s="193" t="s">
        <v>37</v>
      </c>
      <c r="H40" s="194"/>
      <c r="I40" s="195"/>
      <c r="J40" s="228" t="s">
        <v>36</v>
      </c>
      <c r="K40" s="229"/>
      <c r="L40" s="230"/>
      <c r="M40" s="102" t="s">
        <v>29</v>
      </c>
      <c r="N40" s="103"/>
    </row>
    <row r="41" spans="1:22" ht="45.75" thickBot="1" x14ac:dyDescent="0.3">
      <c r="A41" s="42" t="s">
        <v>28</v>
      </c>
      <c r="B41" s="41" t="s">
        <v>27</v>
      </c>
      <c r="C41" s="231" t="s">
        <v>35</v>
      </c>
      <c r="D41" s="232"/>
      <c r="E41" s="233" t="s">
        <v>34</v>
      </c>
      <c r="F41" s="234"/>
      <c r="G41" s="40" t="s">
        <v>33</v>
      </c>
      <c r="H41" s="40" t="s">
        <v>32</v>
      </c>
      <c r="I41" s="39" t="s">
        <v>31</v>
      </c>
      <c r="J41" s="38" t="s">
        <v>33</v>
      </c>
      <c r="K41" s="38" t="s">
        <v>32</v>
      </c>
      <c r="L41" s="37" t="s">
        <v>31</v>
      </c>
      <c r="M41" s="13" t="s">
        <v>9</v>
      </c>
      <c r="N41" s="13" t="s">
        <v>26</v>
      </c>
    </row>
    <row r="42" spans="1:22" ht="15.75" thickBot="1" x14ac:dyDescent="0.3">
      <c r="A42" s="2" t="s">
        <v>10</v>
      </c>
      <c r="B42" s="3" t="s">
        <v>24</v>
      </c>
      <c r="C42" s="29">
        <v>4.95</v>
      </c>
      <c r="D42" s="28">
        <v>25.47</v>
      </c>
      <c r="E42" s="36">
        <v>5.49</v>
      </c>
      <c r="F42" s="35">
        <v>25.44</v>
      </c>
      <c r="G42" s="33">
        <v>36.75</v>
      </c>
      <c r="H42" s="33">
        <v>6.51</v>
      </c>
      <c r="I42" s="32">
        <v>9.77</v>
      </c>
      <c r="J42" s="31">
        <v>91</v>
      </c>
      <c r="K42" s="30">
        <v>13.02</v>
      </c>
      <c r="L42" s="30">
        <v>19.53</v>
      </c>
      <c r="M42" s="7">
        <v>25</v>
      </c>
      <c r="N42" s="35">
        <v>75</v>
      </c>
    </row>
    <row r="43" spans="1:22" ht="15.75" thickBot="1" x14ac:dyDescent="0.3">
      <c r="A43" s="2" t="s">
        <v>11</v>
      </c>
      <c r="B43" s="3" t="s">
        <v>22</v>
      </c>
      <c r="C43" s="29">
        <v>6.04</v>
      </c>
      <c r="D43" s="28">
        <v>25.69</v>
      </c>
      <c r="E43" s="27">
        <v>6.7</v>
      </c>
      <c r="F43" s="26">
        <v>25.88</v>
      </c>
      <c r="G43" s="25">
        <v>42</v>
      </c>
      <c r="H43" s="25">
        <v>7.56</v>
      </c>
      <c r="I43" s="24">
        <v>11.34</v>
      </c>
      <c r="J43" s="16">
        <v>92</v>
      </c>
      <c r="K43" s="15">
        <v>13.18</v>
      </c>
      <c r="L43" s="15">
        <v>19.79</v>
      </c>
      <c r="M43" s="7">
        <v>30</v>
      </c>
      <c r="N43" s="26">
        <v>76</v>
      </c>
    </row>
    <row r="44" spans="1:22" ht="15.75" thickBot="1" x14ac:dyDescent="0.3">
      <c r="A44" s="2" t="s">
        <v>12</v>
      </c>
      <c r="B44" s="3" t="s">
        <v>19</v>
      </c>
      <c r="C44" s="29">
        <v>9.2100000000000009</v>
      </c>
      <c r="D44" s="28">
        <v>25.91</v>
      </c>
      <c r="E44" s="27">
        <v>10.220000000000001</v>
      </c>
      <c r="F44" s="26">
        <v>26.31</v>
      </c>
      <c r="G44" s="25">
        <v>46.35</v>
      </c>
      <c r="H44" s="25">
        <v>8.61</v>
      </c>
      <c r="I44" s="24">
        <v>12.92</v>
      </c>
      <c r="J44" s="16">
        <v>93</v>
      </c>
      <c r="K44" s="15">
        <v>13.34</v>
      </c>
      <c r="L44" s="15">
        <v>20</v>
      </c>
      <c r="M44" s="7">
        <v>35</v>
      </c>
      <c r="N44" s="26">
        <v>77</v>
      </c>
    </row>
    <row r="45" spans="1:22" ht="15.75" thickBot="1" x14ac:dyDescent="0.3">
      <c r="A45" s="2" t="s">
        <v>13</v>
      </c>
      <c r="B45" s="3" t="s">
        <v>18</v>
      </c>
      <c r="C45" s="29">
        <v>10.35</v>
      </c>
      <c r="D45" s="28">
        <v>26.24</v>
      </c>
      <c r="E45" s="27">
        <v>11.18</v>
      </c>
      <c r="F45" s="26">
        <v>26.75</v>
      </c>
      <c r="G45" s="25">
        <v>52.5</v>
      </c>
      <c r="H45" s="25">
        <v>9.66</v>
      </c>
      <c r="I45" s="24">
        <v>14.49</v>
      </c>
      <c r="J45" s="16">
        <v>95</v>
      </c>
      <c r="K45" s="15">
        <v>13.49</v>
      </c>
      <c r="L45" s="15">
        <v>20.27</v>
      </c>
      <c r="M45" s="7">
        <v>40</v>
      </c>
      <c r="N45" s="26">
        <v>78</v>
      </c>
    </row>
    <row r="46" spans="1:22" ht="15.75" thickBot="1" x14ac:dyDescent="0.3">
      <c r="A46" s="2" t="s">
        <v>14</v>
      </c>
      <c r="B46" s="3" t="s">
        <v>17</v>
      </c>
      <c r="C46" s="29">
        <v>11.67</v>
      </c>
      <c r="D46" s="28">
        <v>26.57</v>
      </c>
      <c r="E46" s="27">
        <v>12.6</v>
      </c>
      <c r="F46" s="26">
        <v>27.2</v>
      </c>
      <c r="G46" s="25">
        <v>57.75</v>
      </c>
      <c r="H46" s="25">
        <v>10.71</v>
      </c>
      <c r="I46" s="24">
        <v>16.07</v>
      </c>
      <c r="J46" s="16">
        <v>96</v>
      </c>
      <c r="K46" s="15">
        <v>13.65</v>
      </c>
      <c r="L46" s="15">
        <v>20.48</v>
      </c>
      <c r="M46" s="7">
        <v>45</v>
      </c>
      <c r="N46" s="26">
        <v>79</v>
      </c>
    </row>
    <row r="47" spans="1:22" ht="15.75" thickBot="1" x14ac:dyDescent="0.3">
      <c r="A47" s="4" t="s">
        <v>15</v>
      </c>
      <c r="B47" s="5" t="s">
        <v>16</v>
      </c>
      <c r="C47" s="23">
        <v>13.68</v>
      </c>
      <c r="D47" s="22">
        <v>27.01</v>
      </c>
      <c r="E47" s="20">
        <v>14.77</v>
      </c>
      <c r="F47" s="19">
        <v>27.63</v>
      </c>
      <c r="G47" s="18">
        <v>63</v>
      </c>
      <c r="H47" s="18">
        <v>11.97</v>
      </c>
      <c r="I47" s="17">
        <v>17.95</v>
      </c>
      <c r="J47" s="16">
        <v>97</v>
      </c>
      <c r="K47" s="15">
        <v>13.81</v>
      </c>
      <c r="L47" s="15">
        <v>20.74</v>
      </c>
      <c r="M47" s="7">
        <v>50</v>
      </c>
      <c r="N47" s="19">
        <v>80</v>
      </c>
    </row>
    <row r="48" spans="1:22" ht="51.75" customHeight="1" thickBot="1" x14ac:dyDescent="0.3">
      <c r="C48" s="235" t="s">
        <v>30</v>
      </c>
      <c r="D48" s="236"/>
      <c r="E48" s="100"/>
      <c r="F48" s="101"/>
    </row>
    <row r="49" spans="1:10" x14ac:dyDescent="0.25">
      <c r="H49" s="14"/>
      <c r="I49" s="14"/>
      <c r="J49" s="14"/>
    </row>
    <row r="50" spans="1:10" ht="15.75" thickBot="1" x14ac:dyDescent="0.3"/>
    <row r="51" spans="1:10" ht="15.75" thickBot="1" x14ac:dyDescent="0.3">
      <c r="D51" s="226" t="s">
        <v>25</v>
      </c>
      <c r="E51" s="227"/>
    </row>
    <row r="52" spans="1:10" ht="15.75" thickBot="1" x14ac:dyDescent="0.3">
      <c r="A52" s="12"/>
      <c r="D52" s="11" t="s">
        <v>23</v>
      </c>
      <c r="E52" s="10">
        <v>2.5099999999999998</v>
      </c>
    </row>
    <row r="53" spans="1:10" ht="15.75" thickBot="1" x14ac:dyDescent="0.3">
      <c r="D53" s="9" t="s">
        <v>21</v>
      </c>
      <c r="E53" s="8" t="s">
        <v>20</v>
      </c>
    </row>
  </sheetData>
  <mergeCells count="34">
    <mergeCell ref="D51:E51"/>
    <mergeCell ref="J40:L40"/>
    <mergeCell ref="C41:D41"/>
    <mergeCell ref="E41:F41"/>
    <mergeCell ref="C48:D48"/>
    <mergeCell ref="K4:K8"/>
    <mergeCell ref="D1:H1"/>
    <mergeCell ref="J1:L1"/>
    <mergeCell ref="A2:B2"/>
    <mergeCell ref="A3:B12"/>
    <mergeCell ref="R28:V28"/>
    <mergeCell ref="A15:A16"/>
    <mergeCell ref="J15:J16"/>
    <mergeCell ref="K15:K16"/>
    <mergeCell ref="C28:G28"/>
    <mergeCell ref="H28:L28"/>
    <mergeCell ref="M28:Q28"/>
    <mergeCell ref="A28:B28"/>
    <mergeCell ref="A14:B14"/>
    <mergeCell ref="E14:H14"/>
    <mergeCell ref="J14:K14"/>
    <mergeCell ref="G40:I40"/>
    <mergeCell ref="A17:A18"/>
    <mergeCell ref="A19:A20"/>
    <mergeCell ref="A21:A22"/>
    <mergeCell ref="G22:H22"/>
    <mergeCell ref="A23:A24"/>
    <mergeCell ref="A36:B36"/>
    <mergeCell ref="C36:L36"/>
    <mergeCell ref="M36:V36"/>
    <mergeCell ref="C37:V37"/>
    <mergeCell ref="C39:D39"/>
    <mergeCell ref="E39:F39"/>
    <mergeCell ref="G39:L39"/>
  </mergeCells>
  <pageMargins left="0.15748031496062992" right="0" top="0.62992125984251968" bottom="0.19685039370078741" header="0.31496062992125984" footer="0.31496062992125984"/>
  <pageSetup paperSize="8" scale="68" orientation="landscape" r:id="rId1"/>
  <headerFooter>
    <oddHeader>&amp;L&amp;G&amp;C&amp;"-,Gras"&amp;20ANNEXE GRILLE TARIFAIRE DES SERVICES MUNICIPAUX A PARTIR DU 8 JUILLET 2024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fiche parents</vt:lpstr>
      <vt:lpstr>cout reel</vt:lpstr>
      <vt:lpstr>tarif 2024 (09)</vt:lpstr>
      <vt:lpstr>'tarif 2024 (09)'!Zone_d_impression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stéphane bultez</dc:creator>
  <cp:lastModifiedBy>stéphane bultez</cp:lastModifiedBy>
  <cp:lastPrinted>2016-08-04T06:38:37Z</cp:lastPrinted>
  <dcterms:created xsi:type="dcterms:W3CDTF">2016-02-25T09:09:58Z</dcterms:created>
  <dcterms:modified xsi:type="dcterms:W3CDTF">2025-01-14T15:16:08Z</dcterms:modified>
</cp:coreProperties>
</file>